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ummitcounty-my.sharepoint.com/personal/jjones_summitcountyutah_gov/Documents/Attachments/Desktop/Appendices/"/>
    </mc:Choice>
  </mc:AlternateContent>
  <xr:revisionPtr revIDLastSave="0" documentId="8_{3C1D643F-6805-4B19-A5AF-FC375795D375}" xr6:coauthVersionLast="47" xr6:coauthVersionMax="47" xr10:uidLastSave="{00000000-0000-0000-0000-000000000000}"/>
  <bookViews>
    <workbookView xWindow="3010" yWindow="720" windowWidth="19590" windowHeight="14480" tabRatio="702" xr2:uid="{BF2D5F68-1505-45C2-97C0-0AB7C294F15C}"/>
  </bookViews>
  <sheets>
    <sheet name="2024 Ownership Summit Cty AMI" sheetId="6" r:id="rId1"/>
    <sheet name="2024 Sum Code Ch. 5 Sec 8" sheetId="4" r:id="rId2"/>
    <sheet name="Summit Cou IRC Section 142 MTSP" sheetId="7" r:id="rId3"/>
    <sheet name="Summit LIHTC Section 42" sheetId="12" r:id="rId4"/>
    <sheet name="Summit 2024 AMI Other Federal" sheetId="3" r:id="rId5"/>
    <sheet name="Sheet1"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2" l="1"/>
  <c r="D9" i="12"/>
  <c r="E9" i="12"/>
  <c r="C10" i="12"/>
  <c r="D10" i="12"/>
  <c r="E10" i="12"/>
  <c r="C11" i="12"/>
  <c r="D11" i="12"/>
  <c r="E11" i="12"/>
  <c r="H11" i="12"/>
  <c r="H10" i="12"/>
  <c r="H9" i="12"/>
  <c r="H8" i="12"/>
  <c r="G11" i="12"/>
  <c r="G10" i="12"/>
  <c r="G9" i="12"/>
  <c r="G8" i="12"/>
  <c r="F11" i="12"/>
  <c r="F10" i="12"/>
  <c r="F9" i="12"/>
  <c r="F8" i="12"/>
  <c r="E8" i="12"/>
  <c r="D8" i="12"/>
  <c r="C8" i="12"/>
  <c r="C31" i="6"/>
  <c r="D35" i="6" l="1"/>
  <c r="E15" i="12"/>
  <c r="F15" i="12" s="1"/>
  <c r="H5" i="12"/>
  <c r="G5" i="12"/>
  <c r="F5" i="12"/>
  <c r="E5" i="12"/>
  <c r="D5" i="12"/>
  <c r="C5" i="12"/>
  <c r="E14" i="12" l="1"/>
  <c r="F14" i="12" s="1"/>
  <c r="E16" i="12"/>
  <c r="F16" i="12" s="1"/>
  <c r="E17" i="12"/>
  <c r="F17" i="12" s="1"/>
  <c r="D38" i="6"/>
  <c r="C38" i="6"/>
  <c r="D37" i="6"/>
  <c r="C37" i="6"/>
  <c r="D36" i="6"/>
  <c r="C36" i="6"/>
  <c r="C35" i="6"/>
  <c r="D34" i="6"/>
  <c r="C34" i="6"/>
  <c r="D33" i="6"/>
  <c r="C33" i="6"/>
  <c r="F18" i="4"/>
  <c r="F17" i="4"/>
  <c r="F16" i="4"/>
  <c r="F15" i="4"/>
  <c r="J5" i="7"/>
  <c r="I5" i="7"/>
  <c r="H5" i="7"/>
  <c r="G5" i="7"/>
  <c r="F5" i="7"/>
  <c r="E5" i="7"/>
  <c r="E16" i="7" s="1"/>
  <c r="F16" i="7" s="1"/>
  <c r="D5" i="7"/>
  <c r="C5" i="7"/>
  <c r="H12" i="6"/>
  <c r="C20" i="6" s="1"/>
  <c r="H19" i="6" s="1"/>
  <c r="H21" i="6" s="1"/>
  <c r="C6" i="6"/>
  <c r="H15" i="6"/>
  <c r="H13" i="6"/>
  <c r="H22" i="6"/>
  <c r="H24" i="6" s="1"/>
  <c r="H32" i="6"/>
  <c r="E18" i="4"/>
  <c r="E15" i="4"/>
  <c r="E16" i="4"/>
  <c r="E17" i="4"/>
  <c r="C4" i="3"/>
  <c r="D4" i="3"/>
  <c r="E15" i="3" s="1"/>
  <c r="F15" i="3" s="1"/>
  <c r="E4" i="3"/>
  <c r="F4" i="3"/>
  <c r="G4" i="3"/>
  <c r="H4" i="3"/>
  <c r="I4" i="3"/>
  <c r="J4" i="3"/>
  <c r="E16" i="3" l="1"/>
  <c r="F16" i="3" s="1"/>
  <c r="E18" i="3"/>
  <c r="F18" i="3" s="1"/>
  <c r="E17" i="3"/>
  <c r="F17" i="3" s="1"/>
  <c r="C8" i="6"/>
  <c r="E19" i="7"/>
  <c r="F19" i="7" s="1"/>
  <c r="E17" i="7"/>
  <c r="F17" i="7" s="1"/>
  <c r="E18" i="7"/>
  <c r="F18" i="7" s="1"/>
  <c r="H14" i="6"/>
  <c r="C22" i="6" s="1"/>
  <c r="C7" i="6"/>
  <c r="H25" i="6" l="1"/>
  <c r="H27" i="6" s="1"/>
  <c r="H17" i="6"/>
  <c r="H30" i="6" l="1"/>
  <c r="H34" i="6" s="1"/>
  <c r="H38" i="6" s="1"/>
  <c r="H41" i="6" s="1"/>
  <c r="C28" i="6" s="1"/>
  <c r="C29" i="6" s="1"/>
  <c r="H43" i="6" s="1"/>
</calcChain>
</file>

<file path=xl/sharedStrings.xml><?xml version="1.0" encoding="utf-8"?>
<sst xmlns="http://schemas.openxmlformats.org/spreadsheetml/2006/main" count="187" uniqueCount="93">
  <si>
    <t xml:space="preserve">Setting Affordable Sales Price </t>
  </si>
  <si>
    <r>
      <t>The below worksheet will calculate affordability of a home based on the proposed sale price, and other costs related to the ownership of the home. To use this worksheet, enter the information requested in the white boxes in the worksheet. Start by entering the number of bedrooms in the home, and then move on to enter Proposed Sales Price and other information. This information is needed to determine affordability based on household income. The affordability should be set at or below the</t>
    </r>
    <r>
      <rPr>
        <b/>
        <sz val="11"/>
        <rFont val="Arial"/>
        <family val="2"/>
      </rPr>
      <t xml:space="preserve"> Maxium AMI by Family Size</t>
    </r>
    <r>
      <rPr>
        <sz val="11"/>
        <rFont val="Arial"/>
        <family val="2"/>
      </rPr>
      <t xml:space="preserve"> for the family size as determined by the number of bedrooms in the home which is at or below </t>
    </r>
    <r>
      <rPr>
        <b/>
        <sz val="11"/>
        <rFont val="Arial"/>
        <family val="2"/>
      </rPr>
      <t>80% AMI.</t>
    </r>
  </si>
  <si>
    <t>Number of Bedrooms in the Home</t>
  </si>
  <si>
    <t>Estimated Family Size</t>
  </si>
  <si>
    <t>Maximum AMI by Family Size</t>
  </si>
  <si>
    <t xml:space="preserve">  at 80% AMI</t>
  </si>
  <si>
    <t xml:space="preserve">      Affordability Range</t>
  </si>
  <si>
    <t>60% AMI Target</t>
  </si>
  <si>
    <t xml:space="preserve">  at 60% AMI</t>
  </si>
  <si>
    <t>Information Needed</t>
  </si>
  <si>
    <t>Enter Values In White Boxes Below</t>
  </si>
  <si>
    <t>Affordability Calculation</t>
  </si>
  <si>
    <t>Proposed Sales Price</t>
  </si>
  <si>
    <t>Sales Price</t>
  </si>
  <si>
    <t>Est. Percent Down-Payment</t>
  </si>
  <si>
    <t>Less: Downpayment</t>
  </si>
  <si>
    <t>Est. Interest Rate</t>
  </si>
  <si>
    <t>Mortgage Amount</t>
  </si>
  <si>
    <t>Estimated Annual Costs</t>
  </si>
  <si>
    <t>Interest rate</t>
  </si>
  <si>
    <t>Est. Annual Property Taxes</t>
  </si>
  <si>
    <t>Term of mortgage</t>
  </si>
  <si>
    <t>Estimated Monthly Costs</t>
  </si>
  <si>
    <t>(Principal &amp; Interest)</t>
  </si>
  <si>
    <t>Annual Property Taxes</t>
  </si>
  <si>
    <t xml:space="preserve">     # Months</t>
  </si>
  <si>
    <t>Sale Price is Affordable to</t>
  </si>
  <si>
    <t>Monthly Taxes</t>
  </si>
  <si>
    <t xml:space="preserve">    this Annual Income</t>
  </si>
  <si>
    <t>Percent of AMI</t>
  </si>
  <si>
    <t>100% AMI for a Family of 4</t>
  </si>
  <si>
    <t>Monthly Insurance Cost</t>
  </si>
  <si>
    <t>Income Limits @ 80% AMI (Update Annually)</t>
  </si>
  <si>
    <r>
      <rPr>
        <sz val="10"/>
        <color indexed="26"/>
        <rFont val="Arial"/>
        <family val="2"/>
      </rPr>
      <t>"</t>
    </r>
    <r>
      <rPr>
        <sz val="10"/>
        <rFont val="Arial"/>
        <family val="2"/>
      </rPr>
      <t>@ 60% AMI</t>
    </r>
  </si>
  <si>
    <t>Person</t>
  </si>
  <si>
    <t>Total Monthly Principal, Interest</t>
  </si>
  <si>
    <t>Total Housing Costs</t>
  </si>
  <si>
    <t xml:space="preserve">Percent of Income </t>
  </si>
  <si>
    <t xml:space="preserve">   for Housing Costs</t>
  </si>
  <si>
    <t>Monthly Income Needed</t>
  </si>
  <si>
    <t xml:space="preserve">    # Months</t>
  </si>
  <si>
    <t>Sale Price is Affordable</t>
  </si>
  <si>
    <t xml:space="preserve">    to this Annual Income</t>
  </si>
  <si>
    <t xml:space="preserve">Percent of AMI </t>
  </si>
  <si>
    <t>Est Annual PMI</t>
  </si>
  <si>
    <t>Annual Insurance</t>
  </si>
  <si>
    <t>Est. Annual Insurance</t>
  </si>
  <si>
    <t>Monthly Mortgage Payment</t>
  </si>
  <si>
    <t>Annual PMI Insurance</t>
  </si>
  <si>
    <t xml:space="preserve">   Property Taxes, Insurance &amp; PMI</t>
  </si>
  <si>
    <t>Monthly Common Charges &amp; HOA Fees</t>
  </si>
  <si>
    <t>Monthly PMI Cost</t>
  </si>
  <si>
    <t>Studio</t>
  </si>
  <si>
    <t>30% AMI</t>
  </si>
  <si>
    <t>40% AMI</t>
  </si>
  <si>
    <t>50% AMI</t>
  </si>
  <si>
    <t xml:space="preserve">60% AMI </t>
  </si>
  <si>
    <t>80% AMI</t>
  </si>
  <si>
    <t>1 Bedroom</t>
  </si>
  <si>
    <t>2 Bedroom</t>
  </si>
  <si>
    <t>3+ Bedroom</t>
  </si>
  <si>
    <t>Occupancy</t>
  </si>
  <si>
    <t>120% AMI</t>
  </si>
  <si>
    <t>100% AMI</t>
  </si>
  <si>
    <t xml:space="preserve">70% AMI </t>
  </si>
  <si>
    <t>Calculating Rents</t>
  </si>
  <si>
    <t>Step 3: Establish unit pricing based on assumed occupancies by unit type per Summit County Code.</t>
  </si>
  <si>
    <t>Maximum Monthly Rent Including Utilities Based on AMI %</t>
  </si>
  <si>
    <t>Step Two (2); Verify the income of each tenant and/or family to confirm that that all tenants and/or family qualifies for the respective income restricted units.</t>
  </si>
  <si>
    <t>Step One (1): Confirm tenant lives and/or works fulltime in Summit County.</t>
  </si>
  <si>
    <t>Extremely Low</t>
  </si>
  <si>
    <t>Very Low</t>
  </si>
  <si>
    <t>Low</t>
  </si>
  <si>
    <t>Calculating Rents HUD</t>
  </si>
  <si>
    <t>Enter</t>
  </si>
  <si>
    <t xml:space="preserve">  Self Calculates - Person Family (result rounded down to nearest whole number)</t>
  </si>
  <si>
    <t>Est. Monthly Master HOA Common Charges</t>
  </si>
  <si>
    <t>Est. Monthly Project HOA Fees</t>
  </si>
  <si>
    <r>
      <t xml:space="preserve">    </t>
    </r>
    <r>
      <rPr>
        <b/>
        <i/>
        <sz val="10"/>
        <color rgb="FFFF0000"/>
        <rFont val="Arial"/>
        <family val="2"/>
      </rPr>
      <t xml:space="preserve"> Enter </t>
    </r>
    <r>
      <rPr>
        <b/>
        <i/>
        <sz val="10"/>
        <rFont val="Arial"/>
        <family val="2"/>
      </rPr>
      <t>the Number of Bedrooms (between 0-3) in the Home</t>
    </r>
    <r>
      <rPr>
        <i/>
        <sz val="10"/>
        <rFont val="Arial"/>
        <family val="2"/>
      </rPr>
      <t xml:space="preserve"> (after entering press the enter key)</t>
    </r>
  </si>
  <si>
    <t>Select AMI % From Dropdown Box By Clicking on the AMI Target Below</t>
  </si>
  <si>
    <t>Total Income Per Unit based on Occupancies/AMI %</t>
  </si>
  <si>
    <t>Based on Summit County Code Chapter 5</t>
  </si>
  <si>
    <t>Total Income Per Unit based on Occupancies/HUD Designation</t>
  </si>
  <si>
    <t>Maximum Monthly Rent Including Utilities Based on HUD designation</t>
  </si>
  <si>
    <t xml:space="preserve"> </t>
  </si>
  <si>
    <t>Step One (1): Confirm tenant lives and/or works fulltime at a business physically located in Summit County.</t>
  </si>
  <si>
    <t>Step Two (2); Verify the income of each household member to confirm that the combined income of all tenants income qualifies qualifies for the respective income restricted units.</t>
  </si>
  <si>
    <r>
      <t xml:space="preserve">Select AMI % From </t>
    </r>
    <r>
      <rPr>
        <b/>
        <sz val="14"/>
        <color rgb="FFFF0000"/>
        <rFont val="Calibri"/>
        <family val="2"/>
        <scheme val="minor"/>
      </rPr>
      <t xml:space="preserve">Dropdown </t>
    </r>
    <r>
      <rPr>
        <b/>
        <sz val="11"/>
        <color rgb="FFFF0000"/>
        <rFont val="Calibri"/>
        <family val="2"/>
        <scheme val="minor"/>
      </rPr>
      <t>Box By Clicking on the AMI Target Below</t>
    </r>
  </si>
  <si>
    <t>Persons</t>
  </si>
  <si>
    <r>
      <t xml:space="preserve">Summit County AMI = </t>
    </r>
    <r>
      <rPr>
        <b/>
        <sz val="12"/>
        <color rgb="FFFF0000"/>
        <rFont val="Arial"/>
        <family val="2"/>
      </rPr>
      <t>$153,000</t>
    </r>
  </si>
  <si>
    <r>
      <t xml:space="preserve">Select AMI % From </t>
    </r>
    <r>
      <rPr>
        <b/>
        <sz val="14"/>
        <color rgb="FF002060"/>
        <rFont val="Calibri"/>
        <family val="2"/>
        <scheme val="minor"/>
      </rPr>
      <t xml:space="preserve">Dropdown </t>
    </r>
    <r>
      <rPr>
        <b/>
        <sz val="11"/>
        <color rgb="FF002060"/>
        <rFont val="Calibri"/>
        <family val="2"/>
        <scheme val="minor"/>
      </rPr>
      <t>Box By Clicking on the AMI Target Below</t>
    </r>
  </si>
  <si>
    <t>IF the Occupancy Calculation for 1 and 3 Bedroom Units are Based on 1.5 person per Bedroom Use the Table Below</t>
  </si>
  <si>
    <t>Enter from UHC FirstHome rate https://utahhousingcorp.org/rate_adjustments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</si>
</sst>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00"/>
    <numFmt numFmtId="166" formatCode="&quot;$&quot;#,##0"/>
    <numFmt numFmtId="167" formatCode="0.000%"/>
  </numFmts>
  <fonts count="39" x14ac:knownFonts="1">
    <font>
      <sz val="11"/>
      <color theme="1"/>
      <name val="Calibri"/>
      <family val="2"/>
      <scheme val="minor"/>
    </font>
    <font>
      <sz val="11"/>
      <color theme="1"/>
      <name val="Calibri"/>
      <family val="2"/>
      <scheme val="minor"/>
    </font>
    <font>
      <b/>
      <sz val="14"/>
      <name val="Arial"/>
      <family val="2"/>
    </font>
    <font>
      <sz val="11"/>
      <name val="Arial"/>
      <family val="2"/>
    </font>
    <font>
      <b/>
      <sz val="11"/>
      <name val="Arial"/>
      <family val="2"/>
    </font>
    <font>
      <i/>
      <sz val="10"/>
      <name val="Arial"/>
      <family val="2"/>
    </font>
    <font>
      <b/>
      <i/>
      <sz val="10"/>
      <name val="Arial"/>
      <family val="2"/>
    </font>
    <font>
      <sz val="10"/>
      <name val="Arial"/>
      <family val="2"/>
    </font>
    <font>
      <sz val="10"/>
      <color indexed="54"/>
      <name val="Arial"/>
      <family val="2"/>
    </font>
    <font>
      <b/>
      <sz val="12"/>
      <color theme="1"/>
      <name val="Arial"/>
      <family val="2"/>
    </font>
    <font>
      <b/>
      <sz val="12"/>
      <color rgb="FFFF0000"/>
      <name val="Arial"/>
      <family val="2"/>
    </font>
    <font>
      <b/>
      <sz val="12"/>
      <name val="Arial"/>
      <family val="2"/>
    </font>
    <font>
      <b/>
      <sz val="10"/>
      <name val="Arial"/>
      <family val="2"/>
    </font>
    <font>
      <sz val="8"/>
      <name val="Arial"/>
      <family val="2"/>
    </font>
    <font>
      <b/>
      <sz val="12"/>
      <color theme="3"/>
      <name val="Arial"/>
      <family val="2"/>
    </font>
    <font>
      <u/>
      <sz val="10"/>
      <name val="Arial"/>
      <family val="2"/>
    </font>
    <font>
      <sz val="10"/>
      <color indexed="26"/>
      <name val="Arial"/>
      <family val="2"/>
    </font>
    <font>
      <b/>
      <sz val="9.5"/>
      <name val="Arial"/>
      <family val="2"/>
    </font>
    <font>
      <b/>
      <sz val="10"/>
      <color indexed="54"/>
      <name val="Arial"/>
      <family val="2"/>
    </font>
    <font>
      <b/>
      <sz val="11"/>
      <color indexed="62"/>
      <name val="Arial"/>
      <family val="2"/>
    </font>
    <font>
      <b/>
      <sz val="11"/>
      <color rgb="FFFF0000"/>
      <name val="Arial"/>
      <family val="2"/>
    </font>
    <font>
      <sz val="11"/>
      <color theme="1"/>
      <name val="Arial"/>
      <family val="2"/>
    </font>
    <font>
      <b/>
      <sz val="11"/>
      <color theme="1"/>
      <name val="Arial"/>
      <family val="2"/>
    </font>
    <font>
      <b/>
      <sz val="10"/>
      <color rgb="FFC00000"/>
      <name val="Arial"/>
      <family val="2"/>
    </font>
    <font>
      <b/>
      <sz val="11"/>
      <color theme="1"/>
      <name val="Calibri"/>
      <family val="2"/>
      <scheme val="minor"/>
    </font>
    <font>
      <sz val="11"/>
      <color rgb="FF002060"/>
      <name val="Calibri"/>
      <family val="2"/>
      <scheme val="minor"/>
    </font>
    <font>
      <b/>
      <sz val="11"/>
      <color rgb="FF002060"/>
      <name val="Calibri"/>
      <family val="2"/>
      <scheme val="minor"/>
    </font>
    <font>
      <b/>
      <sz val="11"/>
      <color rgb="FFFF0000"/>
      <name val="Calibri"/>
      <family val="2"/>
      <scheme val="minor"/>
    </font>
    <font>
      <b/>
      <i/>
      <sz val="10"/>
      <color rgb="FFFF0000"/>
      <name val="Arial"/>
      <family val="2"/>
    </font>
    <font>
      <sz val="11"/>
      <color theme="0"/>
      <name val="Arial"/>
      <family val="2"/>
    </font>
    <font>
      <b/>
      <sz val="11"/>
      <color theme="0"/>
      <name val="Arial"/>
      <family val="2"/>
    </font>
    <font>
      <b/>
      <sz val="11"/>
      <name val="Calibri"/>
      <family val="2"/>
      <scheme val="minor"/>
    </font>
    <font>
      <sz val="11"/>
      <name val="Calibri"/>
      <family val="2"/>
      <scheme val="minor"/>
    </font>
    <font>
      <b/>
      <sz val="14"/>
      <color rgb="FFFF0000"/>
      <name val="Arial"/>
      <family val="2"/>
    </font>
    <font>
      <b/>
      <sz val="14"/>
      <color rgb="FFFF0000"/>
      <name val="Calibri"/>
      <family val="2"/>
      <scheme val="minor"/>
    </font>
    <font>
      <b/>
      <sz val="12"/>
      <color rgb="FFC00000"/>
      <name val="Arial"/>
      <family val="2"/>
    </font>
    <font>
      <b/>
      <sz val="11"/>
      <color rgb="FFC00000"/>
      <name val="Arial"/>
      <family val="2"/>
    </font>
    <font>
      <b/>
      <i/>
      <sz val="10"/>
      <color rgb="FFC00000"/>
      <name val="Arial"/>
      <family val="2"/>
    </font>
    <font>
      <b/>
      <sz val="14"/>
      <color rgb="FF002060"/>
      <name val="Calibri"/>
      <family val="2"/>
      <scheme val="minor"/>
    </font>
  </fonts>
  <fills count="14">
    <fill>
      <patternFill patternType="none"/>
    </fill>
    <fill>
      <patternFill patternType="gray125"/>
    </fill>
    <fill>
      <patternFill patternType="solid">
        <fgColor rgb="FF002060"/>
        <bgColor indexed="64"/>
      </patternFill>
    </fill>
    <fill>
      <patternFill patternType="solid">
        <fgColor theme="9" tint="0.79998168889431442"/>
        <bgColor indexed="64"/>
      </patternFill>
    </fill>
    <fill>
      <patternFill patternType="lightGray">
        <fgColor indexed="43"/>
        <bgColor rgb="FF00B0F0"/>
      </patternFill>
    </fill>
    <fill>
      <patternFill patternType="lightGray">
        <fgColor indexed="43"/>
        <bgColor theme="0"/>
      </patternFill>
    </fill>
    <fill>
      <patternFill patternType="solid">
        <fgColor theme="7" tint="0.59999389629810485"/>
        <bgColor indexed="64"/>
      </patternFill>
    </fill>
    <fill>
      <patternFill patternType="solid">
        <fgColor theme="7" tint="0.59999389629810485"/>
        <bgColor theme="0"/>
      </patternFill>
    </fill>
    <fill>
      <patternFill patternType="solid">
        <fgColor theme="4" tint="0.59999389629810485"/>
        <bgColor indexed="64"/>
      </patternFill>
    </fill>
    <fill>
      <patternFill patternType="solid">
        <fgColor theme="4" tint="0.59999389629810485"/>
        <bgColor theme="0"/>
      </patternFill>
    </fill>
    <fill>
      <patternFill patternType="solid">
        <fgColor theme="9" tint="0.39997558519241921"/>
        <bgColor indexed="64"/>
      </patternFill>
    </fill>
    <fill>
      <patternFill patternType="solid">
        <fgColor theme="9" tint="0.39997558519241921"/>
        <bgColor theme="0"/>
      </patternFill>
    </fill>
    <fill>
      <patternFill patternType="solid">
        <fgColor theme="5" tint="0.39997558519241921"/>
        <bgColor indexed="64"/>
      </patternFill>
    </fill>
    <fill>
      <patternFill patternType="solid">
        <fgColor theme="5" tint="0.39997558519241921"/>
        <bgColor theme="0"/>
      </patternFill>
    </fill>
  </fills>
  <borders count="15">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8">
    <xf numFmtId="0" fontId="0" fillId="0" borderId="0" xfId="0"/>
    <xf numFmtId="6" fontId="0" fillId="0" borderId="0" xfId="0" applyNumberFormat="1"/>
    <xf numFmtId="0" fontId="29" fillId="2" borderId="0" xfId="0" applyFont="1" applyFill="1" applyProtection="1">
      <protection locked="0"/>
    </xf>
    <xf numFmtId="6" fontId="29" fillId="2" borderId="0" xfId="0" applyNumberFormat="1" applyFont="1" applyFill="1" applyProtection="1">
      <protection locked="0"/>
    </xf>
    <xf numFmtId="9" fontId="29" fillId="2" borderId="0" xfId="2" applyFont="1" applyFill="1" applyProtection="1">
      <protection locked="0"/>
    </xf>
    <xf numFmtId="6" fontId="29" fillId="2" borderId="0" xfId="0" applyNumberFormat="1" applyFont="1" applyFill="1"/>
    <xf numFmtId="166" fontId="29" fillId="2" borderId="0" xfId="1" applyNumberFormat="1" applyFont="1" applyFill="1"/>
    <xf numFmtId="6" fontId="30" fillId="2" borderId="0" xfId="0" applyNumberFormat="1" applyFont="1" applyFill="1"/>
    <xf numFmtId="8" fontId="0" fillId="0" borderId="0" xfId="0" applyNumberFormat="1"/>
    <xf numFmtId="0" fontId="0" fillId="3" borderId="0" xfId="0" applyFill="1"/>
    <xf numFmtId="0" fontId="0" fillId="0" borderId="0" xfId="0" applyAlignment="1">
      <alignment horizontal="right"/>
    </xf>
    <xf numFmtId="6" fontId="0" fillId="0" borderId="0" xfId="2" applyNumberFormat="1" applyFont="1" applyFill="1" applyBorder="1"/>
    <xf numFmtId="167" fontId="29" fillId="2" borderId="0" xfId="2" applyNumberFormat="1" applyFont="1" applyFill="1" applyProtection="1">
      <protection locked="0"/>
    </xf>
    <xf numFmtId="3" fontId="0" fillId="0" borderId="0" xfId="0" applyNumberFormat="1"/>
    <xf numFmtId="0" fontId="21" fillId="4" borderId="0" xfId="0" applyFont="1" applyFill="1"/>
    <xf numFmtId="0" fontId="3" fillId="4" borderId="0" xfId="0" applyFont="1" applyFill="1" applyAlignment="1">
      <alignment horizontal="left" wrapText="1"/>
    </xf>
    <xf numFmtId="0" fontId="5" fillId="4" borderId="0" xfId="0" applyFont="1" applyFill="1"/>
    <xf numFmtId="0" fontId="7" fillId="4" borderId="0" xfId="0" applyFont="1" applyFill="1"/>
    <xf numFmtId="8" fontId="21" fillId="4" borderId="0" xfId="0" applyNumberFormat="1" applyFont="1" applyFill="1"/>
    <xf numFmtId="0" fontId="11" fillId="4" borderId="0" xfId="0" applyFont="1" applyFill="1"/>
    <xf numFmtId="0" fontId="12" fillId="4" borderId="2" xfId="0" applyFont="1" applyFill="1" applyBorder="1" applyAlignment="1">
      <alignment horizontal="center"/>
    </xf>
    <xf numFmtId="0" fontId="22" fillId="4" borderId="0" xfId="0" applyFont="1" applyFill="1"/>
    <xf numFmtId="6" fontId="22" fillId="4" borderId="0" xfId="0" applyNumberFormat="1" applyFont="1" applyFill="1"/>
    <xf numFmtId="6" fontId="7" fillId="4" borderId="2" xfId="0" applyNumberFormat="1" applyFont="1" applyFill="1" applyBorder="1"/>
    <xf numFmtId="0" fontId="21" fillId="4" borderId="2" xfId="0" applyFont="1" applyFill="1" applyBorder="1" applyAlignment="1">
      <alignment horizontal="right"/>
    </xf>
    <xf numFmtId="0" fontId="6" fillId="4" borderId="2" xfId="0" applyFont="1" applyFill="1" applyBorder="1" applyAlignment="1">
      <alignment wrapText="1"/>
    </xf>
    <xf numFmtId="6" fontId="12" fillId="4" borderId="0" xfId="0" applyNumberFormat="1" applyFont="1" applyFill="1"/>
    <xf numFmtId="10" fontId="21" fillId="4" borderId="0" xfId="2" applyNumberFormat="1" applyFont="1" applyFill="1"/>
    <xf numFmtId="0" fontId="7" fillId="4" borderId="0" xfId="0" applyFont="1" applyFill="1" applyAlignment="1">
      <alignment horizontal="left"/>
    </xf>
    <xf numFmtId="0" fontId="7" fillId="4" borderId="2" xfId="0" applyFont="1" applyFill="1" applyBorder="1"/>
    <xf numFmtId="0" fontId="12" fillId="4" borderId="0" xfId="0" applyFont="1" applyFill="1"/>
    <xf numFmtId="0" fontId="13" fillId="4" borderId="0" xfId="0" applyFont="1" applyFill="1" applyAlignment="1">
      <alignment vertical="top"/>
    </xf>
    <xf numFmtId="8" fontId="8" fillId="4" borderId="0" xfId="0" applyNumberFormat="1" applyFont="1" applyFill="1"/>
    <xf numFmtId="0" fontId="12" fillId="4" borderId="0" xfId="0" applyFont="1" applyFill="1" applyAlignment="1">
      <alignment horizontal="center"/>
    </xf>
    <xf numFmtId="0" fontId="13" fillId="4" borderId="0" xfId="0" applyFont="1" applyFill="1" applyAlignment="1">
      <alignment vertical="center"/>
    </xf>
    <xf numFmtId="0" fontId="20" fillId="4" borderId="0" xfId="0" applyFont="1" applyFill="1" applyAlignment="1">
      <alignment horizontal="left"/>
    </xf>
    <xf numFmtId="0" fontId="12" fillId="4" borderId="0" xfId="0" applyFont="1" applyFill="1" applyAlignment="1">
      <alignment horizontal="left"/>
    </xf>
    <xf numFmtId="0" fontId="12" fillId="4" borderId="0" xfId="0" applyFont="1" applyFill="1" applyAlignment="1">
      <alignment horizontal="left" vertical="top"/>
    </xf>
    <xf numFmtId="164" fontId="14" fillId="4" borderId="3" xfId="1" applyNumberFormat="1" applyFont="1" applyFill="1" applyBorder="1"/>
    <xf numFmtId="8" fontId="8" fillId="4" borderId="2" xfId="0" applyNumberFormat="1" applyFont="1" applyFill="1" applyBorder="1"/>
    <xf numFmtId="0" fontId="17" fillId="4" borderId="0" xfId="0" applyFont="1" applyFill="1"/>
    <xf numFmtId="0" fontId="8" fillId="4" borderId="0" xfId="0" applyFont="1" applyFill="1"/>
    <xf numFmtId="164" fontId="8" fillId="4" borderId="0" xfId="1" applyNumberFormat="1" applyFont="1" applyFill="1" applyBorder="1"/>
    <xf numFmtId="0" fontId="17" fillId="4" borderId="0" xfId="0" applyFont="1" applyFill="1" applyAlignment="1">
      <alignment vertical="top"/>
    </xf>
    <xf numFmtId="8" fontId="12" fillId="4" borderId="0" xfId="0" applyNumberFormat="1" applyFont="1" applyFill="1"/>
    <xf numFmtId="0" fontId="21" fillId="4" borderId="4" xfId="0" applyFont="1" applyFill="1" applyBorder="1"/>
    <xf numFmtId="0" fontId="7" fillId="4" borderId="5" xfId="0" applyFont="1" applyFill="1" applyBorder="1"/>
    <xf numFmtId="0" fontId="21" fillId="4" borderId="6" xfId="0" applyFont="1" applyFill="1" applyBorder="1"/>
    <xf numFmtId="0" fontId="7" fillId="4" borderId="10" xfId="0" applyFont="1" applyFill="1" applyBorder="1" applyAlignment="1">
      <alignment horizontal="center"/>
    </xf>
    <xf numFmtId="0" fontId="7" fillId="4" borderId="0" xfId="0" applyFont="1" applyFill="1" applyAlignment="1">
      <alignment horizontal="center"/>
    </xf>
    <xf numFmtId="0" fontId="21" fillId="4" borderId="11" xfId="0" applyFont="1" applyFill="1" applyBorder="1"/>
    <xf numFmtId="0" fontId="21" fillId="4" borderId="0" xfId="2" applyNumberFormat="1" applyFont="1" applyFill="1" applyBorder="1"/>
    <xf numFmtId="8" fontId="7" fillId="4" borderId="0" xfId="0" applyNumberFormat="1" applyFont="1" applyFill="1"/>
    <xf numFmtId="0" fontId="2" fillId="4" borderId="0" xfId="0" applyFont="1" applyFill="1"/>
    <xf numFmtId="8" fontId="23" fillId="4" borderId="0" xfId="0" applyNumberFormat="1" applyFont="1" applyFill="1"/>
    <xf numFmtId="8" fontId="18" fillId="4" borderId="0" xfId="0" applyNumberFormat="1" applyFont="1" applyFill="1"/>
    <xf numFmtId="9" fontId="7" fillId="4" borderId="2" xfId="2" applyFont="1" applyFill="1" applyBorder="1"/>
    <xf numFmtId="0" fontId="21" fillId="4" borderId="12" xfId="0" applyFont="1" applyFill="1" applyBorder="1"/>
    <xf numFmtId="0" fontId="21" fillId="4" borderId="1" xfId="0" applyFont="1" applyFill="1" applyBorder="1"/>
    <xf numFmtId="9" fontId="19" fillId="4" borderId="0" xfId="2" applyFont="1" applyFill="1"/>
    <xf numFmtId="0" fontId="6" fillId="4" borderId="0" xfId="0" applyFont="1" applyFill="1"/>
    <xf numFmtId="0" fontId="7" fillId="0" borderId="0" xfId="0" applyFont="1"/>
    <xf numFmtId="164" fontId="35" fillId="4" borderId="0" xfId="1" applyNumberFormat="1" applyFont="1" applyFill="1" applyBorder="1"/>
    <xf numFmtId="0" fontId="36" fillId="4" borderId="0" xfId="0" applyFont="1" applyFill="1"/>
    <xf numFmtId="6" fontId="36" fillId="4" borderId="5" xfId="0" applyNumberFormat="1" applyFont="1" applyFill="1" applyBorder="1"/>
    <xf numFmtId="164" fontId="35" fillId="4" borderId="13" xfId="1" applyNumberFormat="1" applyFont="1" applyFill="1" applyBorder="1"/>
    <xf numFmtId="8" fontId="23" fillId="4" borderId="2" xfId="0" applyNumberFormat="1" applyFont="1" applyFill="1" applyBorder="1"/>
    <xf numFmtId="9" fontId="36" fillId="4" borderId="0" xfId="2" applyFont="1" applyFill="1"/>
    <xf numFmtId="9" fontId="36" fillId="5" borderId="0" xfId="2" applyFont="1" applyFill="1"/>
    <xf numFmtId="0" fontId="0" fillId="6" borderId="0" xfId="0" applyFill="1"/>
    <xf numFmtId="0" fontId="2" fillId="6" borderId="0" xfId="0" applyFont="1" applyFill="1" applyAlignment="1">
      <alignment horizontal="center" vertical="center"/>
    </xf>
    <xf numFmtId="0" fontId="24" fillId="6" borderId="0" xfId="0" applyFont="1" applyFill="1" applyAlignment="1">
      <alignment horizontal="left" vertical="top"/>
    </xf>
    <xf numFmtId="0" fontId="25" fillId="6" borderId="0" xfId="0" applyFont="1" applyFill="1" applyAlignment="1">
      <alignment horizontal="center"/>
    </xf>
    <xf numFmtId="0" fontId="0" fillId="6" borderId="0" xfId="0" applyFill="1" applyAlignment="1">
      <alignment horizontal="left" vertical="top"/>
    </xf>
    <xf numFmtId="6" fontId="0" fillId="7" borderId="0" xfId="0" applyNumberFormat="1" applyFill="1"/>
    <xf numFmtId="6" fontId="1" fillId="7" borderId="0" xfId="2" applyNumberFormat="1" applyFont="1" applyFill="1" applyBorder="1"/>
    <xf numFmtId="6" fontId="24" fillId="6" borderId="0" xfId="2" applyNumberFormat="1" applyFont="1" applyFill="1" applyBorder="1" applyAlignment="1">
      <alignment horizontal="center" wrapText="1"/>
    </xf>
    <xf numFmtId="6" fontId="27" fillId="6" borderId="0" xfId="0" applyNumberFormat="1" applyFont="1" applyFill="1" applyAlignment="1">
      <alignment horizontal="center" wrapText="1"/>
    </xf>
    <xf numFmtId="6" fontId="24" fillId="6" borderId="0" xfId="0" applyNumberFormat="1" applyFont="1" applyFill="1" applyAlignment="1">
      <alignment horizontal="center" wrapText="1"/>
    </xf>
    <xf numFmtId="6" fontId="0" fillId="6" borderId="0" xfId="0" applyNumberFormat="1" applyFill="1"/>
    <xf numFmtId="0" fontId="24" fillId="6" borderId="0" xfId="0" applyFont="1" applyFill="1" applyAlignment="1">
      <alignment horizontal="right" wrapText="1"/>
    </xf>
    <xf numFmtId="2" fontId="1" fillId="6" borderId="0" xfId="2" applyNumberFormat="1" applyFont="1" applyFill="1" applyBorder="1" applyAlignment="1">
      <alignment horizontal="center" wrapText="1"/>
    </xf>
    <xf numFmtId="165" fontId="24" fillId="6" borderId="0" xfId="0" applyNumberFormat="1" applyFont="1" applyFill="1" applyAlignment="1">
      <alignment horizontal="right"/>
    </xf>
    <xf numFmtId="0" fontId="24" fillId="6" borderId="0" xfId="0" applyFont="1" applyFill="1" applyAlignment="1">
      <alignment horizontal="right"/>
    </xf>
    <xf numFmtId="2" fontId="0" fillId="6" borderId="0" xfId="0" applyNumberFormat="1" applyFill="1"/>
    <xf numFmtId="0" fontId="0" fillId="8" borderId="0" xfId="0" applyFill="1"/>
    <xf numFmtId="0" fontId="2" fillId="8" borderId="0" xfId="0" applyFont="1" applyFill="1" applyAlignment="1">
      <alignment horizontal="center" vertical="center"/>
    </xf>
    <xf numFmtId="0" fontId="24" fillId="8" borderId="0" xfId="0" applyFont="1" applyFill="1" applyAlignment="1">
      <alignment horizontal="left" vertical="top"/>
    </xf>
    <xf numFmtId="0" fontId="25" fillId="8" borderId="0" xfId="0" applyFont="1" applyFill="1" applyAlignment="1">
      <alignment horizontal="center"/>
    </xf>
    <xf numFmtId="0" fontId="26" fillId="8" borderId="0" xfId="0" applyFont="1" applyFill="1" applyAlignment="1">
      <alignment horizontal="center"/>
    </xf>
    <xf numFmtId="0" fontId="0" fillId="8" borderId="0" xfId="0" applyFill="1" applyAlignment="1">
      <alignment horizontal="left" vertical="top"/>
    </xf>
    <xf numFmtId="6" fontId="0" fillId="9" borderId="0" xfId="0" applyNumberFormat="1" applyFill="1"/>
    <xf numFmtId="6" fontId="1" fillId="9" borderId="0" xfId="2" applyNumberFormat="1" applyFont="1" applyFill="1" applyBorder="1"/>
    <xf numFmtId="6" fontId="31" fillId="9" borderId="0" xfId="0" applyNumberFormat="1" applyFont="1" applyFill="1"/>
    <xf numFmtId="6" fontId="24" fillId="9" borderId="0" xfId="0" applyNumberFormat="1" applyFont="1" applyFill="1"/>
    <xf numFmtId="6" fontId="24" fillId="8" borderId="0" xfId="2" applyNumberFormat="1" applyFont="1" applyFill="1" applyBorder="1" applyAlignment="1">
      <alignment horizontal="center" wrapText="1"/>
    </xf>
    <xf numFmtId="6" fontId="27" fillId="8" borderId="0" xfId="0" applyNumberFormat="1" applyFont="1" applyFill="1" applyAlignment="1">
      <alignment horizontal="center" wrapText="1"/>
    </xf>
    <xf numFmtId="6" fontId="24" fillId="8" borderId="0" xfId="0" applyNumberFormat="1" applyFont="1" applyFill="1" applyAlignment="1">
      <alignment horizontal="center" wrapText="1"/>
    </xf>
    <xf numFmtId="6" fontId="0" fillId="8" borderId="0" xfId="0" applyNumberFormat="1" applyFill="1"/>
    <xf numFmtId="0" fontId="24" fillId="8" borderId="0" xfId="0" applyFont="1" applyFill="1" applyAlignment="1">
      <alignment horizontal="right" wrapText="1"/>
    </xf>
    <xf numFmtId="2" fontId="1" fillId="8" borderId="0" xfId="2" applyNumberFormat="1" applyFont="1" applyFill="1" applyBorder="1" applyAlignment="1">
      <alignment horizontal="center" wrapText="1"/>
    </xf>
    <xf numFmtId="6" fontId="0" fillId="8" borderId="14" xfId="0" applyNumberFormat="1" applyFill="1" applyBorder="1" applyAlignment="1">
      <alignment horizontal="right"/>
    </xf>
    <xf numFmtId="165" fontId="24" fillId="8" borderId="0" xfId="0" applyNumberFormat="1" applyFont="1" applyFill="1" applyAlignment="1">
      <alignment horizontal="right"/>
    </xf>
    <xf numFmtId="2" fontId="32" fillId="8" borderId="0" xfId="2" applyNumberFormat="1" applyFont="1" applyFill="1" applyBorder="1" applyAlignment="1">
      <alignment horizontal="center" wrapText="1"/>
    </xf>
    <xf numFmtId="2" fontId="0" fillId="8" borderId="14" xfId="0" applyNumberFormat="1" applyFill="1" applyBorder="1" applyAlignment="1">
      <alignment horizontal="right"/>
    </xf>
    <xf numFmtId="0" fontId="24" fillId="8" borderId="0" xfId="0" applyFont="1" applyFill="1" applyAlignment="1">
      <alignment horizontal="right"/>
    </xf>
    <xf numFmtId="2" fontId="0" fillId="8" borderId="0" xfId="0" applyNumberFormat="1" applyFill="1"/>
    <xf numFmtId="6" fontId="0" fillId="6" borderId="0" xfId="0" applyNumberFormat="1" applyFill="1" applyAlignment="1">
      <alignment horizontal="right"/>
    </xf>
    <xf numFmtId="2" fontId="0" fillId="6" borderId="0" xfId="0" applyNumberFormat="1" applyFill="1" applyAlignment="1">
      <alignment horizontal="right"/>
    </xf>
    <xf numFmtId="0" fontId="0" fillId="10" borderId="0" xfId="0" applyFill="1"/>
    <xf numFmtId="0" fontId="33" fillId="10" borderId="0" xfId="0" applyFont="1" applyFill="1" applyAlignment="1">
      <alignment horizontal="center" vertical="center"/>
    </xf>
    <xf numFmtId="0" fontId="2" fillId="10" borderId="0" xfId="0" applyFont="1" applyFill="1" applyAlignment="1">
      <alignment horizontal="center" vertical="center"/>
    </xf>
    <xf numFmtId="0" fontId="24" fillId="10" borderId="0" xfId="0" applyFont="1" applyFill="1" applyAlignment="1">
      <alignment horizontal="left" vertical="top"/>
    </xf>
    <xf numFmtId="0" fontId="25" fillId="10" borderId="0" xfId="0" applyFont="1" applyFill="1" applyAlignment="1">
      <alignment horizontal="center"/>
    </xf>
    <xf numFmtId="0" fontId="26" fillId="10" borderId="0" xfId="0" applyFont="1" applyFill="1" applyAlignment="1">
      <alignment horizontal="center"/>
    </xf>
    <xf numFmtId="0" fontId="0" fillId="10" borderId="0" xfId="0" applyFill="1" applyAlignment="1">
      <alignment horizontal="left" vertical="top"/>
    </xf>
    <xf numFmtId="6" fontId="0" fillId="11" borderId="0" xfId="0" applyNumberFormat="1" applyFill="1"/>
    <xf numFmtId="6" fontId="1" fillId="11" borderId="0" xfId="2" applyNumberFormat="1" applyFont="1" applyFill="1" applyBorder="1"/>
    <xf numFmtId="6" fontId="31" fillId="11" borderId="0" xfId="0" applyNumberFormat="1" applyFont="1" applyFill="1"/>
    <xf numFmtId="6" fontId="24" fillId="11" borderId="0" xfId="0" applyNumberFormat="1" applyFont="1" applyFill="1"/>
    <xf numFmtId="6" fontId="24" fillId="10" borderId="0" xfId="2" applyNumberFormat="1" applyFont="1" applyFill="1" applyBorder="1" applyAlignment="1">
      <alignment horizontal="center" wrapText="1"/>
    </xf>
    <xf numFmtId="6" fontId="27" fillId="10" borderId="0" xfId="0" applyNumberFormat="1" applyFont="1" applyFill="1" applyAlignment="1">
      <alignment horizontal="center" wrapText="1"/>
    </xf>
    <xf numFmtId="6" fontId="24" fillId="10" borderId="0" xfId="0" applyNumberFormat="1" applyFont="1" applyFill="1" applyAlignment="1">
      <alignment horizontal="center" wrapText="1"/>
    </xf>
    <xf numFmtId="6" fontId="0" fillId="10" borderId="0" xfId="0" applyNumberFormat="1" applyFill="1"/>
    <xf numFmtId="0" fontId="24" fillId="10" borderId="0" xfId="0" applyFont="1" applyFill="1" applyAlignment="1">
      <alignment horizontal="right" wrapText="1"/>
    </xf>
    <xf numFmtId="2" fontId="1" fillId="10" borderId="0" xfId="2" applyNumberFormat="1" applyFont="1" applyFill="1" applyBorder="1" applyAlignment="1">
      <alignment horizontal="center" wrapText="1"/>
    </xf>
    <xf numFmtId="6" fontId="0" fillId="10" borderId="14" xfId="0" applyNumberFormat="1" applyFill="1" applyBorder="1" applyAlignment="1">
      <alignment horizontal="right"/>
    </xf>
    <xf numFmtId="165" fontId="24" fillId="10" borderId="0" xfId="0" applyNumberFormat="1" applyFont="1" applyFill="1" applyAlignment="1">
      <alignment horizontal="right"/>
    </xf>
    <xf numFmtId="2" fontId="32" fillId="10" borderId="0" xfId="2" applyNumberFormat="1" applyFont="1" applyFill="1" applyBorder="1" applyAlignment="1">
      <alignment horizontal="center" wrapText="1"/>
    </xf>
    <xf numFmtId="2" fontId="0" fillId="10" borderId="14" xfId="0" applyNumberFormat="1" applyFill="1" applyBorder="1" applyAlignment="1">
      <alignment horizontal="right"/>
    </xf>
    <xf numFmtId="0" fontId="24" fillId="10" borderId="0" xfId="0" applyFont="1" applyFill="1" applyAlignment="1">
      <alignment horizontal="right"/>
    </xf>
    <xf numFmtId="2" fontId="0" fillId="10" borderId="0" xfId="0" applyNumberFormat="1" applyFill="1"/>
    <xf numFmtId="0" fontId="0" fillId="12" borderId="0" xfId="0" applyFill="1"/>
    <xf numFmtId="0" fontId="33" fillId="12" borderId="0" xfId="0" applyFont="1" applyFill="1" applyAlignment="1">
      <alignment horizontal="center" vertical="center"/>
    </xf>
    <xf numFmtId="0" fontId="2" fillId="12" borderId="0" xfId="0" applyFont="1" applyFill="1" applyAlignment="1">
      <alignment horizontal="center" vertical="center"/>
    </xf>
    <xf numFmtId="0" fontId="24" fillId="12" borderId="0" xfId="0" applyFont="1" applyFill="1" applyAlignment="1">
      <alignment horizontal="left" vertical="top"/>
    </xf>
    <xf numFmtId="0" fontId="25" fillId="12" borderId="0" xfId="0" applyFont="1" applyFill="1" applyAlignment="1">
      <alignment horizontal="center"/>
    </xf>
    <xf numFmtId="0" fontId="26" fillId="12" borderId="0" xfId="0" applyFont="1" applyFill="1" applyAlignment="1">
      <alignment horizontal="center"/>
    </xf>
    <xf numFmtId="0" fontId="0" fillId="12" borderId="0" xfId="0" applyFill="1" applyAlignment="1">
      <alignment horizontal="left" vertical="top"/>
    </xf>
    <xf numFmtId="6" fontId="0" fillId="13" borderId="0" xfId="0" applyNumberFormat="1" applyFill="1"/>
    <xf numFmtId="6" fontId="1" fillId="13" borderId="0" xfId="2" applyNumberFormat="1" applyFont="1" applyFill="1" applyBorder="1"/>
    <xf numFmtId="6" fontId="24" fillId="13" borderId="0" xfId="0" applyNumberFormat="1" applyFont="1" applyFill="1"/>
    <xf numFmtId="6" fontId="24" fillId="12" borderId="0" xfId="2" applyNumberFormat="1" applyFont="1" applyFill="1" applyBorder="1" applyAlignment="1">
      <alignment horizontal="center" wrapText="1"/>
    </xf>
    <xf numFmtId="6" fontId="24" fillId="12" borderId="0" xfId="0" applyNumberFormat="1" applyFont="1" applyFill="1" applyAlignment="1">
      <alignment horizontal="center" wrapText="1"/>
    </xf>
    <xf numFmtId="6" fontId="0" fillId="12" borderId="0" xfId="0" applyNumberFormat="1" applyFill="1"/>
    <xf numFmtId="0" fontId="24" fillId="12" borderId="0" xfId="0" applyFont="1" applyFill="1" applyAlignment="1">
      <alignment horizontal="right" wrapText="1"/>
    </xf>
    <xf numFmtId="2" fontId="1" fillId="12" borderId="0" xfId="2" applyNumberFormat="1" applyFont="1" applyFill="1" applyBorder="1" applyAlignment="1">
      <alignment horizontal="center" wrapText="1"/>
    </xf>
    <xf numFmtId="6" fontId="0" fillId="12" borderId="14" xfId="0" applyNumberFormat="1" applyFill="1" applyBorder="1" applyAlignment="1">
      <alignment horizontal="right"/>
    </xf>
    <xf numFmtId="165" fontId="24" fillId="12" borderId="0" xfId="0" applyNumberFormat="1" applyFont="1" applyFill="1" applyAlignment="1">
      <alignment horizontal="right"/>
    </xf>
    <xf numFmtId="2" fontId="32" fillId="12" borderId="0" xfId="2" applyNumberFormat="1" applyFont="1" applyFill="1" applyBorder="1" applyAlignment="1">
      <alignment horizontal="center" wrapText="1"/>
    </xf>
    <xf numFmtId="2" fontId="0" fillId="12" borderId="14" xfId="0" applyNumberFormat="1" applyFill="1" applyBorder="1" applyAlignment="1">
      <alignment horizontal="right"/>
    </xf>
    <xf numFmtId="0" fontId="24" fillId="12" borderId="0" xfId="0" applyFont="1" applyFill="1" applyAlignment="1">
      <alignment horizontal="right"/>
    </xf>
    <xf numFmtId="2" fontId="0" fillId="12" borderId="0" xfId="0" applyNumberFormat="1" applyFill="1"/>
    <xf numFmtId="6" fontId="26" fillId="12" borderId="0" xfId="0" applyNumberFormat="1" applyFont="1" applyFill="1" applyAlignment="1">
      <alignment horizontal="center" wrapText="1"/>
    </xf>
    <xf numFmtId="0" fontId="24" fillId="3" borderId="0" xfId="0" applyFont="1" applyFill="1" applyAlignment="1">
      <alignment horizontal="center"/>
    </xf>
    <xf numFmtId="0" fontId="24" fillId="3" borderId="0" xfId="0" applyFont="1" applyFill="1"/>
    <xf numFmtId="9" fontId="0" fillId="3" borderId="0" xfId="0" applyNumberFormat="1" applyFill="1"/>
    <xf numFmtId="165" fontId="0" fillId="3" borderId="0" xfId="1" applyNumberFormat="1" applyFont="1" applyFill="1"/>
    <xf numFmtId="165" fontId="0" fillId="3" borderId="0" xfId="0" applyNumberFormat="1" applyFill="1"/>
    <xf numFmtId="0" fontId="21" fillId="4" borderId="2" xfId="0" applyFont="1" applyFill="1" applyBorder="1"/>
    <xf numFmtId="0" fontId="11" fillId="4" borderId="0" xfId="0" applyFont="1" applyFill="1" applyAlignment="1">
      <alignment horizontal="left" vertical="center" wrapText="1"/>
    </xf>
    <xf numFmtId="0" fontId="7" fillId="4" borderId="0" xfId="0" applyFont="1" applyFill="1" applyAlignment="1">
      <alignment horizontal="left"/>
    </xf>
    <xf numFmtId="0" fontId="12" fillId="4" borderId="0" xfId="0" applyFont="1" applyFill="1" applyAlignment="1">
      <alignment horizontal="left"/>
    </xf>
    <xf numFmtId="0" fontId="12" fillId="4" borderId="0" xfId="0" applyFont="1" applyFill="1" applyAlignment="1">
      <alignment horizontal="left" vertical="top"/>
    </xf>
    <xf numFmtId="0" fontId="37" fillId="5" borderId="0" xfId="0" applyFont="1" applyFill="1" applyAlignment="1">
      <alignment horizontal="left"/>
    </xf>
    <xf numFmtId="0" fontId="21" fillId="4" borderId="1" xfId="0" applyFont="1" applyFill="1" applyBorder="1" applyAlignment="1">
      <alignment horizontal="center"/>
    </xf>
    <xf numFmtId="0" fontId="15" fillId="4" borderId="7" xfId="0" applyFont="1" applyFill="1" applyBorder="1" applyAlignment="1">
      <alignment horizontal="right"/>
    </xf>
    <xf numFmtId="0" fontId="15" fillId="4" borderId="8" xfId="0" applyFont="1" applyFill="1" applyBorder="1" applyAlignment="1">
      <alignment horizontal="right"/>
    </xf>
    <xf numFmtId="0" fontId="15" fillId="4" borderId="9" xfId="0" applyFont="1" applyFill="1" applyBorder="1" applyAlignment="1">
      <alignment horizontal="right"/>
    </xf>
    <xf numFmtId="0" fontId="2" fillId="4" borderId="1" xfId="0" applyFont="1" applyFill="1" applyBorder="1" applyAlignment="1">
      <alignment horizontal="center" vertical="center"/>
    </xf>
    <xf numFmtId="0" fontId="21" fillId="4" borderId="8" xfId="0" applyFont="1" applyFill="1" applyBorder="1" applyAlignment="1">
      <alignment horizontal="left"/>
    </xf>
    <xf numFmtId="0" fontId="3" fillId="4" borderId="0" xfId="0" applyFont="1" applyFill="1" applyAlignment="1">
      <alignment horizontal="left" wrapText="1"/>
    </xf>
    <xf numFmtId="0" fontId="21" fillId="4" borderId="0" xfId="0" applyFont="1" applyFill="1" applyAlignment="1">
      <alignment horizontal="left"/>
    </xf>
    <xf numFmtId="0" fontId="9" fillId="4" borderId="0" xfId="0" applyFont="1" applyFill="1" applyAlignment="1">
      <alignment horizontal="left"/>
    </xf>
    <xf numFmtId="0" fontId="7" fillId="4" borderId="0" xfId="0" applyFont="1" applyFill="1" applyAlignment="1">
      <alignment horizontal="left" vertical="center"/>
    </xf>
    <xf numFmtId="0" fontId="11" fillId="4" borderId="0" xfId="0" applyFont="1" applyFill="1" applyAlignment="1">
      <alignment horizontal="left"/>
    </xf>
    <xf numFmtId="0" fontId="24" fillId="6" borderId="0" xfId="0" applyFont="1" applyFill="1" applyAlignment="1">
      <alignment wrapText="1"/>
    </xf>
    <xf numFmtId="0" fontId="2" fillId="6" borderId="0" xfId="0" applyFont="1" applyFill="1" applyAlignment="1">
      <alignment horizontal="center" vertical="center"/>
    </xf>
    <xf numFmtId="0" fontId="24" fillId="6" borderId="0" xfId="0" applyFont="1" applyFill="1" applyAlignment="1">
      <alignment horizontal="left" vertical="top" wrapText="1"/>
    </xf>
    <xf numFmtId="0" fontId="22" fillId="6" borderId="0" xfId="0" applyFont="1" applyFill="1" applyAlignment="1">
      <alignment horizontal="center"/>
    </xf>
    <xf numFmtId="0" fontId="24" fillId="10" borderId="0" xfId="0" applyFont="1" applyFill="1" applyAlignment="1">
      <alignment wrapText="1"/>
    </xf>
    <xf numFmtId="0" fontId="27" fillId="10" borderId="0" xfId="0" applyFont="1" applyFill="1" applyAlignment="1">
      <alignment horizontal="center"/>
    </xf>
    <xf numFmtId="0" fontId="0" fillId="10" borderId="0" xfId="0" applyFill="1" applyAlignment="1">
      <alignment horizontal="center"/>
    </xf>
    <xf numFmtId="0" fontId="24" fillId="10" borderId="0" xfId="0" applyFont="1" applyFill="1" applyAlignment="1">
      <alignment horizontal="left" vertical="top" wrapText="1"/>
    </xf>
    <xf numFmtId="0" fontId="9" fillId="10" borderId="0" xfId="0" applyFont="1" applyFill="1" applyAlignment="1">
      <alignment horizontal="center"/>
    </xf>
    <xf numFmtId="0" fontId="11" fillId="10" borderId="0" xfId="0" applyFont="1" applyFill="1" applyAlignment="1">
      <alignment horizontal="center" vertical="center"/>
    </xf>
    <xf numFmtId="0" fontId="0" fillId="0" borderId="0" xfId="0" applyAlignment="1">
      <alignment horizontal="center"/>
    </xf>
    <xf numFmtId="0" fontId="24" fillId="12" borderId="0" xfId="0" applyFont="1" applyFill="1" applyAlignment="1">
      <alignment horizontal="left" vertical="top" wrapText="1"/>
    </xf>
    <xf numFmtId="0" fontId="24" fillId="12" borderId="0" xfId="0" applyFont="1" applyFill="1" applyAlignment="1">
      <alignment wrapText="1"/>
    </xf>
    <xf numFmtId="0" fontId="0" fillId="12" borderId="0" xfId="0" applyFill="1" applyAlignment="1">
      <alignment horizontal="center"/>
    </xf>
    <xf numFmtId="0" fontId="27" fillId="12" borderId="0" xfId="0" applyFont="1" applyFill="1" applyAlignment="1">
      <alignment horizontal="center"/>
    </xf>
    <xf numFmtId="0" fontId="9" fillId="12" borderId="0" xfId="0" applyFont="1" applyFill="1" applyAlignment="1">
      <alignment horizontal="center"/>
    </xf>
    <xf numFmtId="0" fontId="11" fillId="12" borderId="0" xfId="0" applyFont="1" applyFill="1" applyAlignment="1">
      <alignment horizontal="center" vertical="center"/>
    </xf>
    <xf numFmtId="0" fontId="24" fillId="8" borderId="0" xfId="0" applyFont="1" applyFill="1" applyAlignment="1">
      <alignment horizontal="left" vertical="top" wrapText="1"/>
    </xf>
    <xf numFmtId="0" fontId="24" fillId="8" borderId="0" xfId="0" applyFont="1" applyFill="1" applyAlignment="1">
      <alignment wrapText="1"/>
    </xf>
    <xf numFmtId="0" fontId="2" fillId="8" borderId="0" xfId="0" applyFont="1" applyFill="1" applyAlignment="1">
      <alignment horizontal="center" vertical="center"/>
    </xf>
    <xf numFmtId="0" fontId="9" fillId="8" borderId="0" xfId="0" applyFont="1" applyFill="1" applyAlignment="1">
      <alignment horizontal="center"/>
    </xf>
    <xf numFmtId="0" fontId="11" fillId="8" borderId="0" xfId="0" applyFont="1" applyFill="1" applyAlignment="1">
      <alignment horizontal="center" vertical="center"/>
    </xf>
  </cellXfs>
  <cellStyles count="3">
    <cellStyle name="Currency" xfId="1" builtinId="4"/>
    <cellStyle name="Normal" xfId="0" builtinId="0"/>
    <cellStyle name="Percent" xfId="2" builtinId="5"/>
  </cellStyles>
  <dxfs count="33">
    <dxf>
      <numFmt numFmtId="10" formatCode="&quot;$&quot;#,##0_);[Red]\(&quot;$&quot;#,##0\)"/>
      <fill>
        <patternFill patternType="solid">
          <fgColor theme="0"/>
          <bgColor theme="4" tint="0.59999389629810485"/>
        </patternFill>
      </fill>
    </dxf>
    <dxf>
      <numFmt numFmtId="10" formatCode="&quot;$&quot;#,##0_);[Red]\(&quot;$&quot;#,##0\)"/>
      <fill>
        <patternFill patternType="solid">
          <fgColor theme="0"/>
          <bgColor theme="4" tint="0.59999389629810485"/>
        </patternFill>
      </fill>
    </dxf>
    <dxf>
      <font>
        <b/>
        <i val="0"/>
        <strike val="0"/>
        <condense val="0"/>
        <extend val="0"/>
        <outline val="0"/>
        <shadow val="0"/>
        <u val="none"/>
        <vertAlign val="baseline"/>
        <sz val="11"/>
        <color theme="1"/>
        <name val="Calibri"/>
        <family val="2"/>
        <scheme val="minor"/>
      </font>
      <numFmt numFmtId="10" formatCode="&quot;$&quot;#,##0_);[Red]\(&quot;$&quot;#,##0\)"/>
      <fill>
        <patternFill patternType="solid">
          <fgColor theme="0"/>
          <bgColor theme="4" tint="0.59999389629810485"/>
        </patternFill>
      </fill>
    </dxf>
    <dxf>
      <numFmt numFmtId="10" formatCode="&quot;$&quot;#,##0_);[Red]\(&quot;$&quot;#,##0\)"/>
      <fill>
        <patternFill patternType="solid">
          <fgColor theme="0"/>
          <bgColor theme="4" tint="0.59999389629810485"/>
        </patternFill>
      </fill>
    </dxf>
    <dxf>
      <numFmt numFmtId="10" formatCode="&quot;$&quot;#,##0_);[Red]\(&quot;$&quot;#,##0\)"/>
      <fill>
        <patternFill patternType="solid">
          <fgColor theme="0"/>
          <bgColor theme="4" tint="0.59999389629810485"/>
        </patternFill>
      </fill>
    </dxf>
    <dxf>
      <numFmt numFmtId="10" formatCode="&quot;$&quot;#,##0_);[Red]\(&quot;$&quot;#,##0\)"/>
      <fill>
        <patternFill patternType="solid">
          <fgColor theme="0"/>
          <bgColor theme="4" tint="0.59999389629810485"/>
        </patternFill>
      </fill>
    </dxf>
    <dxf>
      <font>
        <b val="0"/>
        <i val="0"/>
        <strike val="0"/>
        <condense val="0"/>
        <extend val="0"/>
        <outline val="0"/>
        <shadow val="0"/>
        <u val="none"/>
        <vertAlign val="baseline"/>
        <sz val="11"/>
        <color theme="1"/>
        <name val="Calibri"/>
        <family val="2"/>
        <scheme val="minor"/>
      </font>
      <numFmt numFmtId="10" formatCode="&quot;$&quot;#,##0_);[Red]\(&quot;$&quot;#,##0\)"/>
      <fill>
        <patternFill patternType="solid">
          <fgColor theme="0"/>
          <bgColor theme="4" tint="0.59999389629810485"/>
        </patternFill>
      </fill>
    </dxf>
    <dxf>
      <font>
        <b val="0"/>
        <i val="0"/>
        <strike val="0"/>
        <condense val="0"/>
        <extend val="0"/>
        <outline val="0"/>
        <shadow val="0"/>
        <u val="none"/>
        <vertAlign val="baseline"/>
        <sz val="11"/>
        <color theme="1"/>
        <name val="Calibri"/>
        <family val="2"/>
        <scheme val="minor"/>
      </font>
      <numFmt numFmtId="10" formatCode="&quot;$&quot;#,##0_);[Red]\(&quot;$&quot;#,##0\)"/>
      <fill>
        <patternFill patternType="solid">
          <fgColor theme="0"/>
          <bgColor theme="4" tint="0.59999389629810485"/>
        </patternFill>
      </fill>
    </dxf>
    <dxf>
      <fill>
        <patternFill patternType="solid">
          <fgColor theme="0"/>
          <bgColor theme="4" tint="0.59999389629810485"/>
        </patternFill>
      </fill>
    </dxf>
    <dxf>
      <fill>
        <patternFill patternType="solid">
          <bgColor theme="4" tint="0.59999389629810485"/>
        </patternFill>
      </fill>
    </dxf>
    <dxf>
      <font>
        <b/>
        <i val="0"/>
        <strike val="0"/>
        <condense val="0"/>
        <extend val="0"/>
        <outline val="0"/>
        <shadow val="0"/>
        <u val="none"/>
        <vertAlign val="baseline"/>
        <sz val="11"/>
        <color theme="1"/>
        <name val="Calibri"/>
        <family val="2"/>
        <scheme val="minor"/>
      </font>
      <numFmt numFmtId="10" formatCode="&quot;$&quot;#,##0_);[Red]\(&quot;$&quot;#,##0\)"/>
      <fill>
        <patternFill patternType="solid">
          <fgColor theme="0"/>
          <bgColor theme="5" tint="0.39997558519241921"/>
        </patternFill>
      </fill>
    </dxf>
    <dxf>
      <numFmt numFmtId="10" formatCode="&quot;$&quot;#,##0_);[Red]\(&quot;$&quot;#,##0\)"/>
      <fill>
        <patternFill patternType="solid">
          <fgColor theme="0"/>
          <bgColor theme="5" tint="0.39997558519241921"/>
        </patternFill>
      </fill>
    </dxf>
    <dxf>
      <numFmt numFmtId="10" formatCode="&quot;$&quot;#,##0_);[Red]\(&quot;$&quot;#,##0\)"/>
      <fill>
        <patternFill patternType="solid">
          <fgColor theme="0"/>
          <bgColor theme="5" tint="0.39997558519241921"/>
        </patternFill>
      </fill>
    </dxf>
    <dxf>
      <numFmt numFmtId="10" formatCode="&quot;$&quot;#,##0_);[Red]\(&quot;$&quot;#,##0\)"/>
      <fill>
        <patternFill patternType="solid">
          <fgColor theme="0"/>
          <bgColor theme="5" tint="0.39997558519241921"/>
        </patternFill>
      </fill>
    </dxf>
    <dxf>
      <font>
        <b val="0"/>
        <i val="0"/>
        <strike val="0"/>
        <condense val="0"/>
        <extend val="0"/>
        <outline val="0"/>
        <shadow val="0"/>
        <u val="none"/>
        <vertAlign val="baseline"/>
        <sz val="11"/>
        <color theme="1"/>
        <name val="Calibri"/>
        <family val="2"/>
        <scheme val="minor"/>
      </font>
      <numFmt numFmtId="10" formatCode="&quot;$&quot;#,##0_);[Red]\(&quot;$&quot;#,##0\)"/>
      <fill>
        <patternFill patternType="solid">
          <fgColor theme="0"/>
          <bgColor theme="5" tint="0.39997558519241921"/>
        </patternFill>
      </fill>
    </dxf>
    <dxf>
      <font>
        <b val="0"/>
        <i val="0"/>
        <strike val="0"/>
        <condense val="0"/>
        <extend val="0"/>
        <outline val="0"/>
        <shadow val="0"/>
        <u val="none"/>
        <vertAlign val="baseline"/>
        <sz val="11"/>
        <color theme="1"/>
        <name val="Calibri"/>
        <family val="2"/>
        <scheme val="minor"/>
      </font>
      <numFmt numFmtId="10" formatCode="&quot;$&quot;#,##0_);[Red]\(&quot;$&quot;#,##0\)"/>
      <fill>
        <patternFill patternType="solid">
          <fgColor theme="0"/>
          <bgColor theme="5" tint="0.39997558519241921"/>
        </patternFill>
      </fill>
    </dxf>
    <dxf>
      <fill>
        <patternFill patternType="solid">
          <fgColor rgb="FFFFFFFF"/>
          <bgColor theme="5" tint="0.39997558519241921"/>
        </patternFill>
      </fill>
    </dxf>
    <dxf>
      <fill>
        <patternFill patternType="solid">
          <bgColor theme="5" tint="0.39997558519241921"/>
        </patternFill>
      </fill>
    </dxf>
    <dxf>
      <numFmt numFmtId="10" formatCode="&quot;$&quot;#,##0_);[Red]\(&quot;$&quot;#,##0\)"/>
      <fill>
        <patternFill patternType="solid">
          <fgColor theme="0"/>
          <bgColor theme="9" tint="0.39997558519241921"/>
        </patternFill>
      </fill>
    </dxf>
    <dxf>
      <numFmt numFmtId="10" formatCode="&quot;$&quot;#,##0_);[Red]\(&quot;$&quot;#,##0\)"/>
      <fill>
        <patternFill patternType="solid">
          <fgColor theme="0"/>
          <bgColor theme="9" tint="0.39997558519241921"/>
        </patternFill>
      </fill>
    </dxf>
    <dxf>
      <font>
        <b/>
        <i val="0"/>
        <strike val="0"/>
        <condense val="0"/>
        <extend val="0"/>
        <outline val="0"/>
        <shadow val="0"/>
        <u val="none"/>
        <vertAlign val="baseline"/>
        <sz val="11"/>
        <color theme="1"/>
        <name val="Calibri"/>
        <family val="2"/>
        <scheme val="minor"/>
      </font>
      <numFmt numFmtId="10" formatCode="&quot;$&quot;#,##0_);[Red]\(&quot;$&quot;#,##0\)"/>
      <fill>
        <patternFill patternType="solid">
          <fgColor theme="0"/>
          <bgColor theme="9" tint="0.39997558519241921"/>
        </patternFill>
      </fill>
    </dxf>
    <dxf>
      <numFmt numFmtId="10" formatCode="&quot;$&quot;#,##0_);[Red]\(&quot;$&quot;#,##0\)"/>
      <fill>
        <patternFill patternType="solid">
          <fgColor theme="0"/>
          <bgColor theme="9" tint="0.39997558519241921"/>
        </patternFill>
      </fill>
    </dxf>
    <dxf>
      <numFmt numFmtId="10" formatCode="&quot;$&quot;#,##0_);[Red]\(&quot;$&quot;#,##0\)"/>
      <fill>
        <patternFill patternType="solid">
          <fgColor theme="0"/>
          <bgColor theme="9" tint="0.39997558519241921"/>
        </patternFill>
      </fill>
    </dxf>
    <dxf>
      <numFmt numFmtId="10" formatCode="&quot;$&quot;#,##0_);[Red]\(&quot;$&quot;#,##0\)"/>
      <fill>
        <patternFill patternType="solid">
          <fgColor theme="0"/>
          <bgColor theme="9" tint="0.39997558519241921"/>
        </patternFill>
      </fill>
    </dxf>
    <dxf>
      <font>
        <b val="0"/>
        <i val="0"/>
        <strike val="0"/>
        <condense val="0"/>
        <extend val="0"/>
        <outline val="0"/>
        <shadow val="0"/>
        <u val="none"/>
        <vertAlign val="baseline"/>
        <sz val="11"/>
        <color theme="1"/>
        <name val="Calibri"/>
        <family val="2"/>
        <scheme val="minor"/>
      </font>
      <numFmt numFmtId="10" formatCode="&quot;$&quot;#,##0_);[Red]\(&quot;$&quot;#,##0\)"/>
      <fill>
        <patternFill patternType="solid">
          <fgColor theme="0"/>
          <bgColor theme="9" tint="0.39997558519241921"/>
        </patternFill>
      </fill>
    </dxf>
    <dxf>
      <font>
        <b val="0"/>
        <i val="0"/>
        <strike val="0"/>
        <condense val="0"/>
        <extend val="0"/>
        <outline val="0"/>
        <shadow val="0"/>
        <u val="none"/>
        <vertAlign val="baseline"/>
        <sz val="11"/>
        <color theme="1"/>
        <name val="Calibri"/>
        <family val="2"/>
        <scheme val="minor"/>
      </font>
      <numFmt numFmtId="10" formatCode="&quot;$&quot;#,##0_);[Red]\(&quot;$&quot;#,##0\)"/>
      <fill>
        <patternFill patternType="solid">
          <fgColor theme="0"/>
          <bgColor theme="9" tint="0.39997558519241921"/>
        </patternFill>
      </fill>
    </dxf>
    <dxf>
      <fill>
        <patternFill patternType="solid">
          <fgColor theme="0"/>
          <bgColor theme="9" tint="0.39997558519241921"/>
        </patternFill>
      </fill>
    </dxf>
    <dxf>
      <fill>
        <patternFill patternType="solid">
          <bgColor theme="9" tint="0.39997558519241921"/>
        </patternFill>
      </fill>
    </dxf>
    <dxf>
      <numFmt numFmtId="10" formatCode="&quot;$&quot;#,##0_);[Red]\(&quot;$&quot;#,##0\)"/>
      <fill>
        <patternFill patternType="solid">
          <fgColor theme="0"/>
          <bgColor theme="7" tint="0.59999389629810485"/>
        </patternFill>
      </fill>
    </dxf>
    <dxf>
      <font>
        <b val="0"/>
        <i val="0"/>
        <strike val="0"/>
        <condense val="0"/>
        <extend val="0"/>
        <outline val="0"/>
        <shadow val="0"/>
        <u val="none"/>
        <vertAlign val="baseline"/>
        <sz val="11"/>
        <color theme="1"/>
        <name val="Calibri"/>
        <family val="2"/>
        <scheme val="minor"/>
      </font>
      <numFmt numFmtId="10" formatCode="&quot;$&quot;#,##0_);[Red]\(&quot;$&quot;#,##0\)"/>
      <fill>
        <patternFill patternType="solid">
          <fgColor theme="0"/>
          <bgColor theme="7" tint="0.59999389629810485"/>
        </patternFill>
      </fill>
    </dxf>
    <dxf>
      <font>
        <b val="0"/>
        <i val="0"/>
        <strike val="0"/>
        <condense val="0"/>
        <extend val="0"/>
        <outline val="0"/>
        <shadow val="0"/>
        <u val="none"/>
        <vertAlign val="baseline"/>
        <sz val="11"/>
        <color theme="1"/>
        <name val="Calibri"/>
        <family val="2"/>
        <scheme val="minor"/>
      </font>
      <numFmt numFmtId="10" formatCode="&quot;$&quot;#,##0_);[Red]\(&quot;$&quot;#,##0\)"/>
      <fill>
        <patternFill patternType="solid">
          <fgColor theme="0"/>
          <bgColor theme="7" tint="0.59999389629810485"/>
        </patternFill>
      </fill>
    </dxf>
    <dxf>
      <fill>
        <patternFill patternType="solid">
          <fgColor theme="0"/>
          <bgColor theme="7" tint="0.59999389629810485"/>
        </patternFill>
      </fill>
    </dxf>
    <dxf>
      <fill>
        <patternFill patternType="solid">
          <bgColor theme="7" tint="0.59999389629810485"/>
        </patternFill>
      </fill>
    </dxf>
  </dxfs>
  <tableStyles count="0" defaultTableStyle="TableStyleMedium2" defaultPivotStyle="PivotStyleLight16"/>
  <colors>
    <mruColors>
      <color rgb="FFFDDBF7"/>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211455</xdr:colOff>
      <xdr:row>6</xdr:row>
      <xdr:rowOff>3175</xdr:rowOff>
    </xdr:from>
    <xdr:to>
      <xdr:col>6</xdr:col>
      <xdr:colOff>155575</xdr:colOff>
      <xdr:row>7</xdr:row>
      <xdr:rowOff>190500</xdr:rowOff>
    </xdr:to>
    <xdr:sp macro="" textlink="">
      <xdr:nvSpPr>
        <xdr:cNvPr id="4" name="Right Brace 3">
          <a:extLst>
            <a:ext uri="{FF2B5EF4-FFF2-40B4-BE49-F238E27FC236}">
              <a16:creationId xmlns:a16="http://schemas.microsoft.com/office/drawing/2014/main" id="{6FB694F1-2C13-4046-A04C-94862722833B}"/>
            </a:ext>
          </a:extLst>
        </xdr:cNvPr>
        <xdr:cNvSpPr/>
      </xdr:nvSpPr>
      <xdr:spPr>
        <a:xfrm>
          <a:off x="6637655" y="1152525"/>
          <a:ext cx="369570" cy="384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twoCellAnchor>
    <xdr:from>
      <xdr:col>3</xdr:col>
      <xdr:colOff>7937</xdr:colOff>
      <xdr:row>4</xdr:row>
      <xdr:rowOff>95250</xdr:rowOff>
    </xdr:from>
    <xdr:to>
      <xdr:col>3</xdr:col>
      <xdr:colOff>219075</xdr:colOff>
      <xdr:row>4</xdr:row>
      <xdr:rowOff>95251</xdr:rowOff>
    </xdr:to>
    <xdr:cxnSp macro="">
      <xdr:nvCxnSpPr>
        <xdr:cNvPr id="5" name="Straight Arrow Connector 4">
          <a:extLst>
            <a:ext uri="{FF2B5EF4-FFF2-40B4-BE49-F238E27FC236}">
              <a16:creationId xmlns:a16="http://schemas.microsoft.com/office/drawing/2014/main" id="{65D5FF22-6E46-45D3-B85E-B5B9A33DAD73}"/>
            </a:ext>
          </a:extLst>
        </xdr:cNvPr>
        <xdr:cNvCxnSpPr/>
      </xdr:nvCxnSpPr>
      <xdr:spPr>
        <a:xfrm flipH="1">
          <a:off x="4376737" y="876300"/>
          <a:ext cx="211138"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EC9F892-83A5-4E52-B3A9-7F44CB5D4AE9}" name="Table111" displayName="Table111" ref="C6:E12" totalsRowShown="0" headerRowDxfId="32" dataDxfId="31">
  <autoFilter ref="C6:E12" xr:uid="{71223B2C-E653-4457-B1F5-4239183E6263}"/>
  <tableColumns count="3">
    <tableColumn id="1" xr3:uid="{7488DC0F-C5EA-4BC8-88F6-352AA8C426F0}" name="Extremely Low" dataDxfId="30"/>
    <tableColumn id="2" xr3:uid="{EE1F5E57-A46A-4997-B3F4-438659CD016B}" name="Very Low" dataDxfId="29"/>
    <tableColumn id="3" xr3:uid="{77F4D6DF-65AC-4591-920F-21C3979B9448}" name="Low" data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BAEC58-4F8D-4DF0-9FB5-5FDF9ACCFD4A}" name="Table14" displayName="Table14" ref="C7:J14" totalsRowShown="0" headerRowDxfId="27" dataDxfId="26">
  <autoFilter ref="C7:J14" xr:uid="{1CBAEC58-4F8D-4DF0-9FB5-5FDF9ACCFD4A}"/>
  <tableColumns count="8">
    <tableColumn id="1" xr3:uid="{F0E6A266-5C62-41EA-84FD-831EB326F7DA}" name="30% AMI" dataDxfId="25">
      <calculatedColumnFormula>I8*0.3</calculatedColumnFormula>
    </tableColumn>
    <tableColumn id="2" xr3:uid="{050EB3D6-F522-4343-84E8-ED892E33BC8B}" name="40% AMI" dataDxfId="24">
      <calculatedColumnFormula>I8*0.4</calculatedColumnFormula>
    </tableColumn>
    <tableColumn id="3" xr3:uid="{022BAD45-F2FC-43ED-9334-5F31452CCF5A}" name="50% AMI" dataDxfId="23"/>
    <tableColumn id="4" xr3:uid="{B55F5BAA-9CE4-409E-BB84-2D829F902560}" name="60% AMI " dataDxfId="22"/>
    <tableColumn id="5" xr3:uid="{1F841EB9-6124-4EDA-B162-A4113F3FEB9F}" name="70% AMI " dataDxfId="21">
      <calculatedColumnFormula>I8*0.7</calculatedColumnFormula>
    </tableColumn>
    <tableColumn id="6" xr3:uid="{DBCADADA-20D7-4446-8AB1-16B1A356D04D}" name="80% AMI" dataDxfId="20"/>
    <tableColumn id="7" xr3:uid="{3B1A31B7-1F59-4B7A-B841-3085852E6AAB}" name="100% AMI" dataDxfId="19"/>
    <tableColumn id="8" xr3:uid="{58101D04-01B7-4CF0-A909-90AD7F04AB35}" name="120% AMI" dataDxfId="1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E556391-38DC-44D6-B1E3-3DCBBC29DA9C}" name="Table149" displayName="Table149" ref="C7:H12" totalsRowShown="0" headerRowDxfId="17" dataDxfId="16">
  <autoFilter ref="C7:H12" xr:uid="{1CBAEC58-4F8D-4DF0-9FB5-5FDF9ACCFD4A}"/>
  <tableColumns count="6">
    <tableColumn id="1" xr3:uid="{05490D0D-9D0D-494F-A6C1-063F70838593}" name="30% AMI" dataDxfId="15">
      <calculatedColumnFormula>#REF!*0.3</calculatedColumnFormula>
    </tableColumn>
    <tableColumn id="2" xr3:uid="{39BCC232-21AA-46BB-B47C-17ECFA57E0B6}" name="40% AMI" dataDxfId="14">
      <calculatedColumnFormula>#REF!*0.4</calculatedColumnFormula>
    </tableColumn>
    <tableColumn id="3" xr3:uid="{C7E611B7-5160-49C2-A965-353314AECC20}" name="50% AMI" dataDxfId="13"/>
    <tableColumn id="4" xr3:uid="{1AA53D0C-984E-4FFB-9114-B87A52994058}" name="60% AMI " dataDxfId="12"/>
    <tableColumn id="5" xr3:uid="{159C9086-D8D6-4BFB-93E5-9D119C0DDAFD}" name="70% AMI " dataDxfId="11">
      <calculatedColumnFormula>#REF!*0.7</calculatedColumnFormula>
    </tableColumn>
    <tableColumn id="6" xr3:uid="{E63A5F20-1774-47AD-AE43-4265F2F10442}" name="80% AMI"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F25CCB-7C74-4EC3-8EA8-45576751A4D0}" name="Table1" displayName="Table1" ref="C6:J13" totalsRowShown="0" headerRowDxfId="9" dataDxfId="8">
  <autoFilter ref="C6:J13" xr:uid="{FC176EE3-7684-4F65-A279-9937E3EE5904}"/>
  <tableColumns count="8">
    <tableColumn id="1" xr3:uid="{B2B10F78-5FB8-40C0-9DE1-9075A108A7A6}" name="30% AMI" dataDxfId="7">
      <calculatedColumnFormula>I7*0.3</calculatedColumnFormula>
    </tableColumn>
    <tableColumn id="2" xr3:uid="{BD8A032C-3C83-4AA6-8242-BDF0354EEB91}" name="40% AMI" dataDxfId="6">
      <calculatedColumnFormula>I7*0.4</calculatedColumnFormula>
    </tableColumn>
    <tableColumn id="3" xr3:uid="{B5B8B201-28AA-4F8B-A70F-4A31183B2EAA}" name="50% AMI" dataDxfId="5"/>
    <tableColumn id="4" xr3:uid="{B16CAD95-267F-4161-81EC-C3981F36603C}" name="60% AMI " dataDxfId="4"/>
    <tableColumn id="5" xr3:uid="{2ACFCA9D-FFDC-48C7-9B1D-7EB0410C0E4F}" name="70% AMI " dataDxfId="3">
      <calculatedColumnFormula>I7*0.7</calculatedColumnFormula>
    </tableColumn>
    <tableColumn id="6" xr3:uid="{6985A067-535D-4000-B28E-96EFC16235E1}" name="80% AMI" dataDxfId="2"/>
    <tableColumn id="7" xr3:uid="{9842E72D-EF5B-44AE-AD09-CA80F4426F00}" name="100% AMI" dataDxfId="1"/>
    <tableColumn id="8" xr3:uid="{03996C16-D6A5-4741-9169-939D39721833}" name="120% AMI"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F87ED-2373-4F80-9BCD-44DAB4A1DD4E}">
  <dimension ref="A1:H52"/>
  <sheetViews>
    <sheetView tabSelected="1" topLeftCell="A85" zoomScaleNormal="100" workbookViewId="0">
      <selection activeCell="A25" sqref="A25:B25"/>
    </sheetView>
  </sheetViews>
  <sheetFormatPr defaultRowHeight="14.5" x14ac:dyDescent="0.35"/>
  <cols>
    <col min="1" max="1" width="32.36328125" customWidth="1"/>
    <col min="2" max="2" width="26.81640625" customWidth="1"/>
    <col min="3" max="3" width="25.90625" customWidth="1"/>
    <col min="4" max="5" width="26.54296875" customWidth="1"/>
    <col min="6" max="6" width="7.6328125" customWidth="1"/>
    <col min="7" max="7" width="37.7265625" customWidth="1"/>
    <col min="8" max="8" width="20.36328125" customWidth="1"/>
  </cols>
  <sheetData>
    <row r="1" spans="1:8" ht="18.5" thickBot="1" x14ac:dyDescent="0.4">
      <c r="A1" s="169" t="s">
        <v>0</v>
      </c>
      <c r="B1" s="169"/>
      <c r="C1" s="169"/>
      <c r="D1" s="169"/>
      <c r="E1" s="169"/>
      <c r="F1" s="169"/>
      <c r="G1" s="169"/>
      <c r="H1" s="169"/>
    </row>
    <row r="2" spans="1:8" x14ac:dyDescent="0.35">
      <c r="A2" s="170"/>
      <c r="B2" s="170"/>
      <c r="C2" s="14"/>
      <c r="D2" s="14"/>
      <c r="E2" s="14"/>
      <c r="F2" s="14"/>
      <c r="G2" s="14"/>
      <c r="H2" s="14"/>
    </row>
    <row r="3" spans="1:8" x14ac:dyDescent="0.35">
      <c r="A3" s="171" t="s">
        <v>1</v>
      </c>
      <c r="B3" s="171"/>
      <c r="C3" s="171"/>
      <c r="D3" s="171"/>
      <c r="E3" s="171"/>
      <c r="F3" s="171"/>
      <c r="G3" s="171"/>
      <c r="H3" s="171"/>
    </row>
    <row r="4" spans="1:8" x14ac:dyDescent="0.35">
      <c r="A4" s="15"/>
      <c r="B4" s="15"/>
      <c r="C4" s="15"/>
      <c r="D4" s="15"/>
      <c r="E4" s="15"/>
      <c r="F4" s="15"/>
      <c r="G4" s="15"/>
      <c r="H4" s="15"/>
    </row>
    <row r="5" spans="1:8" x14ac:dyDescent="0.35">
      <c r="A5" s="172" t="s">
        <v>2</v>
      </c>
      <c r="B5" s="172"/>
      <c r="C5" s="2">
        <v>3</v>
      </c>
      <c r="D5" s="16" t="s">
        <v>78</v>
      </c>
      <c r="E5" s="17"/>
      <c r="F5" s="14"/>
      <c r="G5" s="14"/>
      <c r="H5" s="18"/>
    </row>
    <row r="6" spans="1:8" x14ac:dyDescent="0.35">
      <c r="A6" s="172" t="s">
        <v>3</v>
      </c>
      <c r="B6" s="172"/>
      <c r="C6" s="61">
        <f>C5+1</f>
        <v>4</v>
      </c>
      <c r="D6" s="17" t="s">
        <v>75</v>
      </c>
      <c r="E6" s="17"/>
      <c r="F6" s="14"/>
      <c r="G6" s="14"/>
      <c r="H6" s="18"/>
    </row>
    <row r="7" spans="1:8" ht="15.5" x14ac:dyDescent="0.35">
      <c r="A7" s="173" t="s">
        <v>4</v>
      </c>
      <c r="B7" s="173"/>
      <c r="C7" s="62">
        <f>VLOOKUP(C6,A33:C38,3,FALSE)</f>
        <v>122400</v>
      </c>
      <c r="D7" s="19" t="s">
        <v>5</v>
      </c>
      <c r="E7" s="17"/>
      <c r="F7" s="14"/>
      <c r="G7" s="174" t="s">
        <v>6</v>
      </c>
      <c r="H7" s="18"/>
    </row>
    <row r="8" spans="1:8" ht="15.5" x14ac:dyDescent="0.35">
      <c r="A8" s="175" t="s">
        <v>7</v>
      </c>
      <c r="B8" s="175"/>
      <c r="C8" s="62">
        <f>VLOOKUP(C6,A33:D38,4,FALSE)</f>
        <v>91800</v>
      </c>
      <c r="D8" s="19" t="s">
        <v>8</v>
      </c>
      <c r="E8" s="17"/>
      <c r="F8" s="14"/>
      <c r="G8" s="174"/>
      <c r="H8" s="18"/>
    </row>
    <row r="9" spans="1:8" x14ac:dyDescent="0.35">
      <c r="A9" s="14"/>
      <c r="B9" s="14"/>
      <c r="C9" s="14"/>
      <c r="D9" s="14"/>
      <c r="E9" s="14"/>
      <c r="F9" s="14"/>
      <c r="G9" s="14"/>
      <c r="H9" s="14"/>
    </row>
    <row r="10" spans="1:8" x14ac:dyDescent="0.35">
      <c r="A10" s="14"/>
      <c r="B10" s="14"/>
      <c r="C10" s="14"/>
      <c r="D10" s="14"/>
      <c r="E10" s="14"/>
      <c r="F10" s="14"/>
      <c r="G10" s="20" t="s">
        <v>11</v>
      </c>
      <c r="H10" s="20"/>
    </row>
    <row r="11" spans="1:8" x14ac:dyDescent="0.35">
      <c r="A11" s="14"/>
      <c r="B11" s="14"/>
      <c r="C11" s="14"/>
      <c r="D11" s="14"/>
      <c r="E11" s="14"/>
      <c r="F11" s="14"/>
      <c r="G11" s="14"/>
      <c r="H11" s="14"/>
    </row>
    <row r="12" spans="1:8" x14ac:dyDescent="0.35">
      <c r="A12" s="14"/>
      <c r="B12" s="14"/>
      <c r="C12" s="14"/>
      <c r="D12" s="14"/>
      <c r="E12" s="14"/>
      <c r="F12" s="14"/>
      <c r="G12" s="21" t="s">
        <v>13</v>
      </c>
      <c r="H12" s="22">
        <f>C16</f>
        <v>425000</v>
      </c>
    </row>
    <row r="13" spans="1:8" x14ac:dyDescent="0.35">
      <c r="A13" s="14"/>
      <c r="B13" s="14"/>
      <c r="C13" s="14"/>
      <c r="D13" s="14"/>
      <c r="E13" s="14"/>
      <c r="F13" s="14"/>
      <c r="G13" s="17" t="s">
        <v>15</v>
      </c>
      <c r="H13" s="23">
        <f>INT(C16*C17)</f>
        <v>21250</v>
      </c>
    </row>
    <row r="14" spans="1:8" ht="65.5" x14ac:dyDescent="0.35">
      <c r="A14" s="24"/>
      <c r="B14" s="20" t="s">
        <v>9</v>
      </c>
      <c r="C14" s="25" t="s">
        <v>10</v>
      </c>
      <c r="D14" s="14"/>
      <c r="E14" s="14"/>
      <c r="F14" s="14"/>
      <c r="G14" s="21" t="s">
        <v>17</v>
      </c>
      <c r="H14" s="26">
        <f>H12-H13</f>
        <v>403750</v>
      </c>
    </row>
    <row r="15" spans="1:8" x14ac:dyDescent="0.35">
      <c r="A15" s="14"/>
      <c r="B15" s="14"/>
      <c r="C15" s="14"/>
      <c r="D15" s="14"/>
      <c r="E15" s="14"/>
      <c r="F15" s="14"/>
      <c r="G15" s="14" t="s">
        <v>19</v>
      </c>
      <c r="H15" s="27">
        <f>C18</f>
        <v>0.06</v>
      </c>
    </row>
    <row r="16" spans="1:8" x14ac:dyDescent="0.35">
      <c r="A16" s="161" t="s">
        <v>12</v>
      </c>
      <c r="B16" s="161"/>
      <c r="C16" s="3">
        <v>425000</v>
      </c>
      <c r="D16" s="159"/>
      <c r="E16" s="14"/>
      <c r="F16" s="14"/>
      <c r="G16" s="14" t="s">
        <v>21</v>
      </c>
      <c r="H16" s="29">
        <v>30</v>
      </c>
    </row>
    <row r="17" spans="1:8" x14ac:dyDescent="0.35">
      <c r="A17" s="161" t="s">
        <v>14</v>
      </c>
      <c r="B17" s="161"/>
      <c r="C17" s="4">
        <v>0.05</v>
      </c>
      <c r="D17" s="14"/>
      <c r="E17" s="14"/>
      <c r="F17" s="14"/>
      <c r="G17" s="30" t="s">
        <v>47</v>
      </c>
      <c r="H17" s="54">
        <f>PMT(H15/12,H16*12,H14)*-1</f>
        <v>2420.6852453042375</v>
      </c>
    </row>
    <row r="18" spans="1:8" x14ac:dyDescent="0.35">
      <c r="A18" s="161" t="s">
        <v>16</v>
      </c>
      <c r="B18" s="161"/>
      <c r="C18" s="12">
        <v>0.06</v>
      </c>
      <c r="D18" s="63" t="s">
        <v>92</v>
      </c>
      <c r="E18" s="14"/>
      <c r="F18" s="14"/>
      <c r="G18" s="31" t="s">
        <v>23</v>
      </c>
      <c r="H18" s="32"/>
    </row>
    <row r="19" spans="1:8" x14ac:dyDescent="0.35">
      <c r="A19" s="28"/>
      <c r="B19" s="33" t="s">
        <v>18</v>
      </c>
      <c r="C19" s="14"/>
      <c r="D19" s="14" t="s">
        <v>84</v>
      </c>
      <c r="E19" s="14"/>
      <c r="F19" s="14"/>
      <c r="G19" s="17" t="s">
        <v>24</v>
      </c>
      <c r="H19" s="18">
        <f>C20</f>
        <v>2337.5</v>
      </c>
    </row>
    <row r="20" spans="1:8" x14ac:dyDescent="0.35">
      <c r="A20" s="161" t="s">
        <v>20</v>
      </c>
      <c r="B20" s="161"/>
      <c r="C20" s="3">
        <f>H12*0.01*0.55</f>
        <v>2337.5</v>
      </c>
      <c r="D20" s="14"/>
      <c r="E20" s="14"/>
      <c r="F20" s="14"/>
      <c r="G20" s="34" t="s">
        <v>25</v>
      </c>
      <c r="H20" s="29">
        <v>12</v>
      </c>
    </row>
    <row r="21" spans="1:8" x14ac:dyDescent="0.35">
      <c r="A21" s="161" t="s">
        <v>46</v>
      </c>
      <c r="B21" s="161"/>
      <c r="C21" s="3">
        <v>581</v>
      </c>
      <c r="D21" s="63" t="s">
        <v>74</v>
      </c>
      <c r="E21" s="14"/>
      <c r="F21" s="14"/>
      <c r="G21" s="21" t="s">
        <v>27</v>
      </c>
      <c r="H21" s="54">
        <f>H19/H20</f>
        <v>194.79166666666666</v>
      </c>
    </row>
    <row r="22" spans="1:8" x14ac:dyDescent="0.35">
      <c r="A22" s="28" t="s">
        <v>44</v>
      </c>
      <c r="B22" s="28"/>
      <c r="C22" s="3">
        <f>H14*0.0058</f>
        <v>2341.75</v>
      </c>
      <c r="D22" s="35"/>
      <c r="E22" s="14"/>
      <c r="F22" s="14"/>
      <c r="G22" s="14" t="s">
        <v>45</v>
      </c>
      <c r="H22" s="18">
        <f>C21</f>
        <v>581</v>
      </c>
    </row>
    <row r="23" spans="1:8" x14ac:dyDescent="0.35">
      <c r="A23" s="28"/>
      <c r="B23" s="33" t="s">
        <v>22</v>
      </c>
      <c r="C23" s="14"/>
      <c r="D23" s="14"/>
      <c r="E23" s="14"/>
      <c r="F23" s="14"/>
      <c r="G23" s="34" t="s">
        <v>25</v>
      </c>
      <c r="H23" s="29">
        <v>12</v>
      </c>
    </row>
    <row r="24" spans="1:8" x14ac:dyDescent="0.35">
      <c r="A24" s="161" t="s">
        <v>76</v>
      </c>
      <c r="B24" s="161"/>
      <c r="C24" s="3">
        <v>150</v>
      </c>
      <c r="D24" s="63" t="s">
        <v>74</v>
      </c>
      <c r="E24" s="14"/>
      <c r="F24" s="14"/>
      <c r="G24" s="30" t="s">
        <v>31</v>
      </c>
      <c r="H24" s="54">
        <f>H22/H23</f>
        <v>48.416666666666664</v>
      </c>
    </row>
    <row r="25" spans="1:8" x14ac:dyDescent="0.35">
      <c r="A25" s="161" t="s">
        <v>77</v>
      </c>
      <c r="B25" s="161"/>
      <c r="C25" s="3">
        <v>49</v>
      </c>
      <c r="D25" s="63" t="s">
        <v>74</v>
      </c>
      <c r="E25" s="14"/>
      <c r="F25" s="14"/>
      <c r="G25" s="14" t="s">
        <v>48</v>
      </c>
      <c r="H25" s="18">
        <f>C22</f>
        <v>2341.75</v>
      </c>
    </row>
    <row r="26" spans="1:8" x14ac:dyDescent="0.35">
      <c r="A26" s="15"/>
      <c r="B26" s="15"/>
      <c r="C26" s="15"/>
      <c r="D26" s="15"/>
      <c r="E26" s="15"/>
      <c r="F26" s="15"/>
      <c r="G26" s="34" t="s">
        <v>25</v>
      </c>
      <c r="H26" s="29">
        <v>12</v>
      </c>
    </row>
    <row r="27" spans="1:8" x14ac:dyDescent="0.35">
      <c r="A27" s="162" t="s">
        <v>26</v>
      </c>
      <c r="B27" s="162"/>
      <c r="C27" s="14"/>
      <c r="D27" s="14"/>
      <c r="E27" s="14"/>
      <c r="F27" s="14"/>
      <c r="G27" s="30" t="s">
        <v>51</v>
      </c>
      <c r="H27" s="54">
        <f>H25/H26</f>
        <v>195.14583333333334</v>
      </c>
    </row>
    <row r="28" spans="1:8" ht="16" thickBot="1" x14ac:dyDescent="0.4">
      <c r="A28" s="163" t="s">
        <v>28</v>
      </c>
      <c r="B28" s="163"/>
      <c r="C28" s="38">
        <f>H41</f>
        <v>122321.57647883617</v>
      </c>
      <c r="D28" s="14"/>
      <c r="E28" s="14"/>
      <c r="F28" s="14"/>
      <c r="G28" s="14"/>
      <c r="H28" s="39"/>
    </row>
    <row r="29" spans="1:8" ht="15" thickTop="1" x14ac:dyDescent="0.35">
      <c r="A29" s="164" t="s">
        <v>29</v>
      </c>
      <c r="B29" s="164"/>
      <c r="C29" s="68">
        <f>C28/(C31*(H44+VLOOKUP(C6,A33:E38,5,FALSE)))</f>
        <v>0.7994874279662495</v>
      </c>
      <c r="D29" s="14"/>
      <c r="E29" s="14"/>
      <c r="F29" s="14"/>
      <c r="G29" s="40" t="s">
        <v>35</v>
      </c>
      <c r="H29" s="41"/>
    </row>
    <row r="30" spans="1:8" ht="15" thickBot="1" x14ac:dyDescent="0.4">
      <c r="A30" s="165"/>
      <c r="B30" s="165"/>
      <c r="C30" s="42"/>
      <c r="D30" s="14"/>
      <c r="E30" s="14"/>
      <c r="F30" s="14"/>
      <c r="G30" s="43" t="s">
        <v>49</v>
      </c>
      <c r="H30" s="44">
        <f>H17+H21+H24+H27</f>
        <v>2859.039411970904</v>
      </c>
    </row>
    <row r="31" spans="1:8" ht="15" thickBot="1" x14ac:dyDescent="0.4">
      <c r="A31" s="45"/>
      <c r="B31" s="46" t="s">
        <v>30</v>
      </c>
      <c r="C31" s="64">
        <f>'Summit 2024 AMI Other Federal'!I10</f>
        <v>153000</v>
      </c>
      <c r="D31" s="47"/>
      <c r="E31" s="14"/>
      <c r="F31" s="18"/>
      <c r="G31" s="14"/>
      <c r="H31" s="18"/>
    </row>
    <row r="32" spans="1:8" x14ac:dyDescent="0.35">
      <c r="A32" s="166" t="s">
        <v>32</v>
      </c>
      <c r="B32" s="167"/>
      <c r="C32" s="168"/>
      <c r="D32" s="48" t="s">
        <v>33</v>
      </c>
      <c r="E32" s="49"/>
      <c r="F32" s="18"/>
      <c r="G32" s="30" t="s">
        <v>50</v>
      </c>
      <c r="H32" s="66">
        <f>C24+C25</f>
        <v>199</v>
      </c>
    </row>
    <row r="33" spans="1:8" x14ac:dyDescent="0.35">
      <c r="A33" s="50">
        <v>1</v>
      </c>
      <c r="B33" s="14" t="s">
        <v>34</v>
      </c>
      <c r="C33" s="5">
        <f>'Summit 2024 AMI Other Federal'!H7</f>
        <v>85680</v>
      </c>
      <c r="D33" s="6">
        <f>'Summit 2024 AMI Other Federal'!F7</f>
        <v>64260</v>
      </c>
      <c r="E33" s="51">
        <v>0.7</v>
      </c>
      <c r="F33" s="18"/>
      <c r="G33" s="14"/>
      <c r="H33" s="52"/>
    </row>
    <row r="34" spans="1:8" ht="18" x14ac:dyDescent="0.4">
      <c r="A34" s="50">
        <v>2</v>
      </c>
      <c r="B34" s="14" t="s">
        <v>34</v>
      </c>
      <c r="C34" s="5">
        <f>'Summit 2024 AMI Other Federal'!H8</f>
        <v>97920</v>
      </c>
      <c r="D34" s="6">
        <f>'Summit 2024 AMI Other Federal'!F8</f>
        <v>73440</v>
      </c>
      <c r="E34" s="51">
        <v>0.8</v>
      </c>
      <c r="F34" s="18"/>
      <c r="G34" s="53" t="s">
        <v>36</v>
      </c>
      <c r="H34" s="54">
        <f>H30+H32</f>
        <v>3058.039411970904</v>
      </c>
    </row>
    <row r="35" spans="1:8" x14ac:dyDescent="0.35">
      <c r="A35" s="50">
        <v>3</v>
      </c>
      <c r="B35" s="14" t="s">
        <v>34</v>
      </c>
      <c r="C35" s="5">
        <f>'Summit 2024 AMI Other Federal'!H9</f>
        <v>110160</v>
      </c>
      <c r="D35" s="6">
        <f>'Summit 2024 AMI Other Federal'!F9</f>
        <v>82620</v>
      </c>
      <c r="E35" s="51">
        <v>0.9</v>
      </c>
      <c r="F35" s="14"/>
      <c r="G35" s="30"/>
      <c r="H35" s="55"/>
    </row>
    <row r="36" spans="1:8" x14ac:dyDescent="0.35">
      <c r="A36" s="50">
        <v>4</v>
      </c>
      <c r="B36" s="14" t="s">
        <v>34</v>
      </c>
      <c r="C36" s="7">
        <f>'Summit 2024 AMI Other Federal'!H10</f>
        <v>122400</v>
      </c>
      <c r="D36" s="6">
        <f>'Summit 2024 AMI Other Federal'!F10</f>
        <v>91800</v>
      </c>
      <c r="E36" s="51">
        <v>1</v>
      </c>
      <c r="F36" s="14"/>
      <c r="G36" s="17" t="s">
        <v>37</v>
      </c>
      <c r="H36" s="32"/>
    </row>
    <row r="37" spans="1:8" x14ac:dyDescent="0.35">
      <c r="A37" s="50">
        <v>5</v>
      </c>
      <c r="B37" s="14" t="s">
        <v>34</v>
      </c>
      <c r="C37" s="5">
        <f>'Summit 2024 AMI Other Federal'!H11</f>
        <v>132160</v>
      </c>
      <c r="D37" s="6">
        <f>'Summit 2024 AMI Other Federal'!F11</f>
        <v>99120</v>
      </c>
      <c r="E37" s="51">
        <v>1.08</v>
      </c>
      <c r="F37" s="14"/>
      <c r="G37" s="17" t="s">
        <v>38</v>
      </c>
      <c r="H37" s="56">
        <v>0.3</v>
      </c>
    </row>
    <row r="38" spans="1:8" ht="15" thickBot="1" x14ac:dyDescent="0.4">
      <c r="A38" s="57">
        <v>6</v>
      </c>
      <c r="B38" s="58" t="s">
        <v>34</v>
      </c>
      <c r="C38" s="5">
        <f>'Summit 2024 AMI Other Federal'!H12</f>
        <v>142000</v>
      </c>
      <c r="D38" s="6">
        <f>'Summit 2024 AMI Other Federal'!F12</f>
        <v>106500</v>
      </c>
      <c r="E38" s="51">
        <v>1.1599999999999999</v>
      </c>
      <c r="F38" s="14"/>
      <c r="G38" s="14" t="s">
        <v>39</v>
      </c>
      <c r="H38" s="52">
        <f>H34/H37</f>
        <v>10193.464706569681</v>
      </c>
    </row>
    <row r="39" spans="1:8" x14ac:dyDescent="0.35">
      <c r="A39" s="14"/>
      <c r="B39" s="14"/>
      <c r="C39" s="14"/>
      <c r="D39" s="14"/>
      <c r="E39" s="14"/>
      <c r="F39" s="14"/>
      <c r="G39" s="34" t="s">
        <v>40</v>
      </c>
      <c r="H39" s="29">
        <v>12</v>
      </c>
    </row>
    <row r="40" spans="1:8" x14ac:dyDescent="0.35">
      <c r="A40" s="14"/>
      <c r="B40" s="17"/>
      <c r="C40" s="17"/>
      <c r="D40" s="17"/>
      <c r="E40" s="17"/>
      <c r="F40" s="14"/>
      <c r="G40" s="36" t="s">
        <v>41</v>
      </c>
      <c r="H40" s="14"/>
    </row>
    <row r="41" spans="1:8" ht="16" thickBot="1" x14ac:dyDescent="0.4">
      <c r="A41" s="160"/>
      <c r="B41" s="160"/>
      <c r="C41" s="160"/>
      <c r="D41" s="160"/>
      <c r="E41" s="17"/>
      <c r="F41" s="14"/>
      <c r="G41" s="37" t="s">
        <v>42</v>
      </c>
      <c r="H41" s="65">
        <f>H38*H39</f>
        <v>122321.57647883617</v>
      </c>
    </row>
    <row r="42" spans="1:8" ht="15" thickTop="1" x14ac:dyDescent="0.35">
      <c r="A42" s="160"/>
      <c r="B42" s="160"/>
      <c r="C42" s="160"/>
      <c r="D42" s="160"/>
      <c r="E42" s="51"/>
      <c r="F42" s="14"/>
      <c r="G42" s="31"/>
      <c r="H42" s="59"/>
    </row>
    <row r="43" spans="1:8" x14ac:dyDescent="0.35">
      <c r="A43" s="160"/>
      <c r="B43" s="160"/>
      <c r="C43" s="160"/>
      <c r="D43" s="160"/>
      <c r="E43" s="51"/>
      <c r="F43" s="14"/>
      <c r="G43" s="60" t="s">
        <v>43</v>
      </c>
      <c r="H43" s="67">
        <f>C29</f>
        <v>0.7994874279662495</v>
      </c>
    </row>
    <row r="49" spans="1:1" x14ac:dyDescent="0.35">
      <c r="A49" s="10"/>
    </row>
    <row r="50" spans="1:1" x14ac:dyDescent="0.35">
      <c r="A50" s="10"/>
    </row>
    <row r="51" spans="1:1" x14ac:dyDescent="0.35">
      <c r="A51" s="10"/>
    </row>
    <row r="52" spans="1:1" x14ac:dyDescent="0.35">
      <c r="A52" s="10"/>
    </row>
  </sheetData>
  <mergeCells count="21">
    <mergeCell ref="A24:B24"/>
    <mergeCell ref="A1:H1"/>
    <mergeCell ref="A2:B2"/>
    <mergeCell ref="A3:H3"/>
    <mergeCell ref="A5:B5"/>
    <mergeCell ref="A6:B6"/>
    <mergeCell ref="A7:B7"/>
    <mergeCell ref="G7:G8"/>
    <mergeCell ref="A8:B8"/>
    <mergeCell ref="A16:B16"/>
    <mergeCell ref="A17:B17"/>
    <mergeCell ref="A18:B18"/>
    <mergeCell ref="A20:B20"/>
    <mergeCell ref="A21:B21"/>
    <mergeCell ref="A41:D43"/>
    <mergeCell ref="A25:B25"/>
    <mergeCell ref="A27:B27"/>
    <mergeCell ref="A28:B28"/>
    <mergeCell ref="A29:B29"/>
    <mergeCell ref="A30:B30"/>
    <mergeCell ref="A32:C3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240F0-993A-4BF2-A157-AC9D955163D2}">
  <dimension ref="A1:J20"/>
  <sheetViews>
    <sheetView workbookViewId="0">
      <selection activeCell="J18" sqref="J18"/>
    </sheetView>
  </sheetViews>
  <sheetFormatPr defaultRowHeight="14.5" x14ac:dyDescent="0.35"/>
  <cols>
    <col min="1" max="1" width="2.08984375" customWidth="1"/>
    <col min="2" max="2" width="44" customWidth="1"/>
    <col min="3" max="3" width="13.08984375" customWidth="1"/>
    <col min="4" max="4" width="17.81640625" customWidth="1"/>
    <col min="5" max="5" width="18.81640625" customWidth="1"/>
    <col min="6" max="6" width="16.81640625" customWidth="1"/>
    <col min="7" max="8" width="9.81640625" customWidth="1"/>
    <col min="9" max="10" width="10.36328125" customWidth="1"/>
  </cols>
  <sheetData>
    <row r="1" spans="1:10" ht="18" x14ac:dyDescent="0.35">
      <c r="A1" s="69"/>
      <c r="B1" s="177" t="s">
        <v>73</v>
      </c>
      <c r="C1" s="177"/>
      <c r="D1" s="177"/>
      <c r="E1" s="177"/>
      <c r="F1" s="177"/>
      <c r="G1" s="177"/>
      <c r="H1" s="177"/>
      <c r="I1" s="177"/>
      <c r="J1" s="177"/>
    </row>
    <row r="2" spans="1:10" ht="18" x14ac:dyDescent="0.35">
      <c r="A2" s="178" t="s">
        <v>69</v>
      </c>
      <c r="B2" s="178"/>
      <c r="C2" s="69"/>
      <c r="D2" s="179"/>
      <c r="E2" s="179"/>
      <c r="F2" s="70"/>
      <c r="G2" s="70"/>
      <c r="H2" s="70"/>
      <c r="I2" s="70"/>
      <c r="J2" s="70"/>
    </row>
    <row r="3" spans="1:10" ht="18" x14ac:dyDescent="0.35">
      <c r="A3" s="69"/>
      <c r="B3" s="176"/>
      <c r="C3" s="176"/>
      <c r="D3" s="70"/>
      <c r="E3" s="70"/>
      <c r="F3" s="70"/>
      <c r="G3" s="70"/>
      <c r="H3" s="70"/>
      <c r="I3" s="70"/>
      <c r="J3" s="70"/>
    </row>
    <row r="4" spans="1:10" x14ac:dyDescent="0.35">
      <c r="A4" s="69"/>
      <c r="B4" s="69"/>
      <c r="C4" s="69"/>
      <c r="D4" s="69"/>
      <c r="E4" s="69"/>
      <c r="F4" s="69"/>
      <c r="G4" s="69"/>
      <c r="H4" s="69"/>
      <c r="I4" s="69"/>
      <c r="J4" s="69"/>
    </row>
    <row r="5" spans="1:10" x14ac:dyDescent="0.35">
      <c r="A5" s="71"/>
      <c r="B5" s="71"/>
      <c r="C5" s="69"/>
      <c r="D5" s="69"/>
      <c r="E5" s="69"/>
      <c r="F5" s="69"/>
      <c r="G5" s="69"/>
      <c r="H5" s="69"/>
      <c r="I5" s="69"/>
      <c r="J5" s="69"/>
    </row>
    <row r="6" spans="1:10" ht="32.25" customHeight="1" x14ac:dyDescent="0.35">
      <c r="A6" s="178" t="s">
        <v>68</v>
      </c>
      <c r="B6" s="178"/>
      <c r="C6" s="72" t="s">
        <v>70</v>
      </c>
      <c r="D6" s="72" t="s">
        <v>71</v>
      </c>
      <c r="E6" s="72" t="s">
        <v>72</v>
      </c>
      <c r="F6" s="69"/>
      <c r="G6" s="69"/>
      <c r="H6" s="69"/>
      <c r="I6" s="69"/>
      <c r="J6" s="69"/>
    </row>
    <row r="7" spans="1:10" x14ac:dyDescent="0.35">
      <c r="A7" s="73">
        <v>1</v>
      </c>
      <c r="B7" s="73" t="s">
        <v>34</v>
      </c>
      <c r="C7" s="74">
        <v>32150</v>
      </c>
      <c r="D7" s="74">
        <v>53550</v>
      </c>
      <c r="E7" s="74">
        <v>68500</v>
      </c>
      <c r="F7" s="69"/>
      <c r="G7" s="69"/>
      <c r="H7" s="69"/>
      <c r="I7" s="69"/>
      <c r="J7" s="69"/>
    </row>
    <row r="8" spans="1:10" x14ac:dyDescent="0.35">
      <c r="A8" s="73">
        <v>2</v>
      </c>
      <c r="B8" s="73" t="s">
        <v>34</v>
      </c>
      <c r="C8" s="74">
        <v>36750</v>
      </c>
      <c r="D8" s="74">
        <v>61200</v>
      </c>
      <c r="E8" s="74">
        <v>78250</v>
      </c>
      <c r="F8" s="69"/>
      <c r="G8" s="69"/>
      <c r="H8" s="69"/>
      <c r="I8" s="69"/>
      <c r="J8" s="69"/>
    </row>
    <row r="9" spans="1:10" x14ac:dyDescent="0.35">
      <c r="A9" s="73">
        <v>3</v>
      </c>
      <c r="B9" s="73" t="s">
        <v>34</v>
      </c>
      <c r="C9" s="74">
        <v>41350</v>
      </c>
      <c r="D9" s="74">
        <v>68850</v>
      </c>
      <c r="E9" s="74">
        <v>88050</v>
      </c>
      <c r="F9" s="69"/>
      <c r="G9" s="69"/>
      <c r="H9" s="69"/>
      <c r="I9" s="69"/>
      <c r="J9" s="69"/>
    </row>
    <row r="10" spans="1:10" x14ac:dyDescent="0.35">
      <c r="A10" s="73">
        <v>4</v>
      </c>
      <c r="B10" s="73" t="s">
        <v>34</v>
      </c>
      <c r="C10" s="75">
        <v>45900</v>
      </c>
      <c r="D10" s="74">
        <v>76500</v>
      </c>
      <c r="E10" s="74">
        <v>97800</v>
      </c>
      <c r="F10" s="69"/>
      <c r="G10" s="69"/>
      <c r="H10" s="69"/>
      <c r="I10" s="69"/>
      <c r="J10" s="69"/>
    </row>
    <row r="11" spans="1:10" x14ac:dyDescent="0.35">
      <c r="A11" s="73">
        <v>5</v>
      </c>
      <c r="B11" s="73" t="s">
        <v>34</v>
      </c>
      <c r="C11" s="74">
        <v>49600</v>
      </c>
      <c r="D11" s="74">
        <v>82650</v>
      </c>
      <c r="E11" s="74">
        <v>105650</v>
      </c>
      <c r="F11" s="69"/>
      <c r="G11" s="69"/>
      <c r="H11" s="69"/>
      <c r="I11" s="69"/>
      <c r="J11" s="69"/>
    </row>
    <row r="12" spans="1:10" x14ac:dyDescent="0.35">
      <c r="A12" s="73">
        <v>6</v>
      </c>
      <c r="B12" s="73" t="s">
        <v>34</v>
      </c>
      <c r="C12" s="74">
        <v>53250</v>
      </c>
      <c r="D12" s="74">
        <v>88750</v>
      </c>
      <c r="E12" s="74">
        <v>113450</v>
      </c>
      <c r="F12" s="69"/>
      <c r="G12" s="69"/>
      <c r="H12" s="69"/>
      <c r="I12" s="69"/>
      <c r="J12" s="69"/>
    </row>
    <row r="13" spans="1:10" x14ac:dyDescent="0.35">
      <c r="A13" s="69"/>
      <c r="B13" s="69"/>
      <c r="C13" s="69"/>
      <c r="D13" s="69"/>
      <c r="E13" s="69"/>
      <c r="F13" s="69"/>
      <c r="G13" s="69"/>
      <c r="H13" s="69"/>
      <c r="I13" s="69"/>
      <c r="J13" s="69"/>
    </row>
    <row r="14" spans="1:10" ht="72.5" x14ac:dyDescent="0.35">
      <c r="A14" s="176" t="s">
        <v>66</v>
      </c>
      <c r="B14" s="176"/>
      <c r="C14" s="76" t="s">
        <v>61</v>
      </c>
      <c r="D14" s="77" t="s">
        <v>81</v>
      </c>
      <c r="E14" s="78" t="s">
        <v>82</v>
      </c>
      <c r="F14" s="78" t="s">
        <v>83</v>
      </c>
      <c r="G14" s="79"/>
      <c r="H14" s="79"/>
      <c r="I14" s="79"/>
      <c r="J14" s="69"/>
    </row>
    <row r="15" spans="1:10" x14ac:dyDescent="0.35">
      <c r="A15" s="69"/>
      <c r="B15" s="80" t="s">
        <v>52</v>
      </c>
      <c r="C15" s="81">
        <v>1</v>
      </c>
      <c r="D15" s="107" t="s">
        <v>70</v>
      </c>
      <c r="E15" s="79">
        <f t="shared" ref="E15:E17" si="0">HLOOKUP($D15,$A$6:$J$12,$C15+1,FALSE)</f>
        <v>32150</v>
      </c>
      <c r="F15" s="82">
        <f>C7*0.3/12</f>
        <v>803.75</v>
      </c>
      <c r="G15" s="79"/>
      <c r="H15" s="79"/>
      <c r="I15" s="79"/>
      <c r="J15" s="69"/>
    </row>
    <row r="16" spans="1:10" x14ac:dyDescent="0.35">
      <c r="A16" s="69"/>
      <c r="B16" s="80" t="s">
        <v>58</v>
      </c>
      <c r="C16" s="81">
        <v>2</v>
      </c>
      <c r="D16" s="108" t="s">
        <v>71</v>
      </c>
      <c r="E16" s="79">
        <f t="shared" si="0"/>
        <v>61200</v>
      </c>
      <c r="F16" s="82">
        <f>D8*0.3/12</f>
        <v>1530</v>
      </c>
      <c r="G16" s="79"/>
      <c r="H16" s="79"/>
      <c r="I16" s="79"/>
      <c r="J16" s="69"/>
    </row>
    <row r="17" spans="1:10" x14ac:dyDescent="0.35">
      <c r="A17" s="69"/>
      <c r="B17" s="80" t="s">
        <v>59</v>
      </c>
      <c r="C17" s="81">
        <v>3</v>
      </c>
      <c r="D17" s="107" t="s">
        <v>72</v>
      </c>
      <c r="E17" s="79">
        <f t="shared" si="0"/>
        <v>88050</v>
      </c>
      <c r="F17" s="82">
        <f>E9*0.3/12</f>
        <v>2201.25</v>
      </c>
      <c r="G17" s="79"/>
      <c r="H17" s="79"/>
      <c r="I17" s="79"/>
      <c r="J17" s="69"/>
    </row>
    <row r="18" spans="1:10" x14ac:dyDescent="0.35">
      <c r="A18" s="69"/>
      <c r="B18" s="80" t="s">
        <v>60</v>
      </c>
      <c r="C18" s="81">
        <v>4</v>
      </c>
      <c r="D18" s="107" t="s">
        <v>72</v>
      </c>
      <c r="E18" s="79">
        <f>HLOOKUP($D18,$A$6:$J$12,$C18+1,FALSE)</f>
        <v>97800</v>
      </c>
      <c r="F18" s="82">
        <f>E10*0.3/12</f>
        <v>2445</v>
      </c>
      <c r="G18" s="79"/>
      <c r="H18" s="79"/>
      <c r="I18" s="79"/>
      <c r="J18" s="69"/>
    </row>
    <row r="19" spans="1:10" x14ac:dyDescent="0.35">
      <c r="A19" s="69"/>
      <c r="B19" s="83"/>
      <c r="C19" s="79"/>
      <c r="D19" s="84"/>
      <c r="E19" s="79"/>
      <c r="F19" s="79"/>
      <c r="G19" s="79"/>
      <c r="H19" s="79"/>
      <c r="I19" s="79"/>
      <c r="J19" s="69"/>
    </row>
    <row r="20" spans="1:10" x14ac:dyDescent="0.35">
      <c r="A20" s="69"/>
      <c r="B20" s="69"/>
      <c r="C20" s="69"/>
      <c r="D20" s="69"/>
      <c r="E20" s="69"/>
      <c r="F20" s="69"/>
      <c r="G20" s="69"/>
      <c r="H20" s="69"/>
      <c r="I20" s="69"/>
      <c r="J20" s="69"/>
    </row>
  </sheetData>
  <mergeCells count="6">
    <mergeCell ref="A14:B14"/>
    <mergeCell ref="B1:J1"/>
    <mergeCell ref="A2:B2"/>
    <mergeCell ref="D2:E2"/>
    <mergeCell ref="B3:C3"/>
    <mergeCell ref="A6:B6"/>
  </mergeCells>
  <dataValidations count="4">
    <dataValidation type="list" allowBlank="1" showInputMessage="1" showErrorMessage="1" sqref="C19" xr:uid="{66B924A8-9CA7-40F0-9B04-CFAB85FDCF93}">
      <formula1>$C$15:$F$15</formula1>
    </dataValidation>
    <dataValidation type="list" allowBlank="1" showInputMessage="1" showErrorMessage="1" sqref="D17:D18" xr:uid="{9B0B130B-C9A9-4BD7-A52F-5E413D74C636}">
      <formula1>$E$6</formula1>
    </dataValidation>
    <dataValidation type="list" allowBlank="1" showInputMessage="1" showErrorMessage="1" sqref="D15" xr:uid="{10A099C7-7AFC-43F5-93A6-3C1B4898BE82}">
      <formula1>$C$6</formula1>
    </dataValidation>
    <dataValidation type="list" allowBlank="1" showInputMessage="1" showErrorMessage="1" sqref="D16" xr:uid="{263C9DC2-F322-4F5E-BAC5-604E6CA078BE}">
      <formula1>$D$6</formula1>
    </dataValidation>
  </dataValidations>
  <pageMargins left="0.7" right="0.7" top="0.75" bottom="0.75" header="0.3" footer="0.3"/>
  <pageSetup orientation="portrait"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CBDE0-5BF2-4C1F-862A-B1EA11F22D35}">
  <dimension ref="A1:J35"/>
  <sheetViews>
    <sheetView topLeftCell="A8" workbookViewId="0">
      <selection activeCell="F24" sqref="F24"/>
    </sheetView>
  </sheetViews>
  <sheetFormatPr defaultRowHeight="14.5" x14ac:dyDescent="0.35"/>
  <cols>
    <col min="2" max="2" width="23.81640625" customWidth="1"/>
    <col min="3" max="3" width="15.90625" customWidth="1"/>
    <col min="4" max="4" width="23.36328125" customWidth="1"/>
    <col min="5" max="5" width="19.81640625" customWidth="1"/>
    <col min="6" max="6" width="24.453125" customWidth="1"/>
    <col min="7" max="7" width="18" customWidth="1"/>
    <col min="8" max="8" width="20" customWidth="1"/>
    <col min="9" max="9" width="21.08984375" customWidth="1"/>
    <col min="10" max="10" width="27" customWidth="1"/>
  </cols>
  <sheetData>
    <row r="1" spans="1:10" ht="18" customHeight="1" x14ac:dyDescent="0.35">
      <c r="A1" s="182" t="s">
        <v>65</v>
      </c>
      <c r="B1" s="182"/>
      <c r="C1" s="182"/>
      <c r="D1" s="182"/>
      <c r="E1" s="182"/>
      <c r="F1" s="182"/>
      <c r="G1" s="182"/>
      <c r="H1" s="182"/>
      <c r="I1" s="182"/>
      <c r="J1" s="182"/>
    </row>
    <row r="2" spans="1:10" ht="18" customHeight="1" x14ac:dyDescent="0.35">
      <c r="A2" s="181"/>
      <c r="B2" s="182"/>
      <c r="C2" s="182"/>
      <c r="D2" s="182"/>
      <c r="E2" s="182"/>
      <c r="F2" s="182"/>
      <c r="G2" s="182"/>
      <c r="H2" s="182"/>
      <c r="I2" s="182"/>
      <c r="J2" s="182"/>
    </row>
    <row r="3" spans="1:10" ht="75.5" customHeight="1" x14ac:dyDescent="0.35">
      <c r="A3" s="183" t="s">
        <v>85</v>
      </c>
      <c r="B3" s="183"/>
      <c r="C3" s="109"/>
      <c r="D3" s="184"/>
      <c r="E3" s="184"/>
      <c r="F3" s="110"/>
      <c r="G3" s="111"/>
      <c r="H3" s="111"/>
      <c r="I3" s="111"/>
      <c r="J3" s="111"/>
    </row>
    <row r="4" spans="1:10" ht="18" x14ac:dyDescent="0.35">
      <c r="A4" s="109"/>
      <c r="B4" s="180"/>
      <c r="C4" s="180"/>
      <c r="D4" s="185"/>
      <c r="E4" s="185"/>
      <c r="F4" s="111"/>
      <c r="G4" s="111"/>
      <c r="H4" s="111"/>
      <c r="I4" s="111"/>
      <c r="J4" s="111"/>
    </row>
    <row r="5" spans="1:10" x14ac:dyDescent="0.35">
      <c r="A5" s="109"/>
      <c r="B5" s="109"/>
      <c r="C5" s="109">
        <f t="shared" ref="C5:J5" si="0">INT(LEFT(C$7,FIND("%",C$7)-1))/100</f>
        <v>0.3</v>
      </c>
      <c r="D5" s="109">
        <f t="shared" si="0"/>
        <v>0.4</v>
      </c>
      <c r="E5" s="109">
        <f t="shared" si="0"/>
        <v>0.5</v>
      </c>
      <c r="F5" s="109">
        <f t="shared" si="0"/>
        <v>0.6</v>
      </c>
      <c r="G5" s="109">
        <f t="shared" si="0"/>
        <v>0.7</v>
      </c>
      <c r="H5" s="109">
        <f t="shared" si="0"/>
        <v>0.8</v>
      </c>
      <c r="I5" s="109">
        <f t="shared" si="0"/>
        <v>1</v>
      </c>
      <c r="J5" s="109">
        <f t="shared" si="0"/>
        <v>1.2</v>
      </c>
    </row>
    <row r="6" spans="1:10" x14ac:dyDescent="0.35">
      <c r="A6" s="112"/>
      <c r="B6" s="112"/>
      <c r="C6" s="109"/>
      <c r="D6" s="109"/>
      <c r="E6" s="109"/>
      <c r="F6" s="109"/>
      <c r="G6" s="109"/>
      <c r="H6" s="109"/>
      <c r="I6" s="109"/>
      <c r="J6" s="109"/>
    </row>
    <row r="7" spans="1:10" ht="124" customHeight="1" x14ac:dyDescent="0.35">
      <c r="A7" s="183" t="s">
        <v>86</v>
      </c>
      <c r="B7" s="183"/>
      <c r="C7" s="113" t="s">
        <v>53</v>
      </c>
      <c r="D7" s="113" t="s">
        <v>54</v>
      </c>
      <c r="E7" s="113" t="s">
        <v>55</v>
      </c>
      <c r="F7" s="113" t="s">
        <v>56</v>
      </c>
      <c r="G7" s="113" t="s">
        <v>64</v>
      </c>
      <c r="H7" s="114" t="s">
        <v>57</v>
      </c>
      <c r="I7" s="113" t="s">
        <v>63</v>
      </c>
      <c r="J7" s="113" t="s">
        <v>62</v>
      </c>
    </row>
    <row r="8" spans="1:10" x14ac:dyDescent="0.35">
      <c r="A8" s="115">
        <v>1</v>
      </c>
      <c r="B8" s="115" t="s">
        <v>34</v>
      </c>
      <c r="C8" s="116">
        <v>32130</v>
      </c>
      <c r="D8" s="116">
        <v>42840</v>
      </c>
      <c r="E8" s="116">
        <v>53550</v>
      </c>
      <c r="F8" s="116">
        <v>64260</v>
      </c>
      <c r="G8" s="116">
        <v>74970</v>
      </c>
      <c r="H8" s="116">
        <v>85680</v>
      </c>
      <c r="I8" s="116">
        <v>107100</v>
      </c>
      <c r="J8" s="116">
        <v>128520</v>
      </c>
    </row>
    <row r="9" spans="1:10" x14ac:dyDescent="0.35">
      <c r="A9" s="115">
        <v>2</v>
      </c>
      <c r="B9" s="115" t="s">
        <v>34</v>
      </c>
      <c r="C9" s="116">
        <v>36720</v>
      </c>
      <c r="D9" s="116">
        <v>48960</v>
      </c>
      <c r="E9" s="116">
        <v>61200</v>
      </c>
      <c r="F9" s="116">
        <v>73440</v>
      </c>
      <c r="G9" s="116">
        <v>85680</v>
      </c>
      <c r="H9" s="116">
        <v>97920</v>
      </c>
      <c r="I9" s="116">
        <v>122400</v>
      </c>
      <c r="J9" s="116">
        <v>146880</v>
      </c>
    </row>
    <row r="10" spans="1:10" x14ac:dyDescent="0.35">
      <c r="A10" s="115">
        <v>3</v>
      </c>
      <c r="B10" s="115" t="s">
        <v>34</v>
      </c>
      <c r="C10" s="116">
        <v>41310</v>
      </c>
      <c r="D10" s="116">
        <v>55080</v>
      </c>
      <c r="E10" s="116">
        <v>68850</v>
      </c>
      <c r="F10" s="116">
        <v>82620</v>
      </c>
      <c r="G10" s="116">
        <v>96390</v>
      </c>
      <c r="H10" s="116">
        <v>110160</v>
      </c>
      <c r="I10" s="116">
        <v>137700</v>
      </c>
      <c r="J10" s="116">
        <v>165240</v>
      </c>
    </row>
    <row r="11" spans="1:10" x14ac:dyDescent="0.35">
      <c r="A11" s="115">
        <v>4</v>
      </c>
      <c r="B11" s="115" t="s">
        <v>34</v>
      </c>
      <c r="C11" s="117">
        <v>45900</v>
      </c>
      <c r="D11" s="116">
        <v>61200</v>
      </c>
      <c r="E11" s="116">
        <v>76500</v>
      </c>
      <c r="F11" s="116">
        <v>91800</v>
      </c>
      <c r="G11" s="116">
        <v>107100</v>
      </c>
      <c r="H11" s="116">
        <v>122400</v>
      </c>
      <c r="I11" s="118">
        <v>153000</v>
      </c>
      <c r="J11" s="116">
        <v>183600</v>
      </c>
    </row>
    <row r="12" spans="1:10" x14ac:dyDescent="0.35">
      <c r="A12" s="115">
        <v>5</v>
      </c>
      <c r="B12" s="115" t="s">
        <v>34</v>
      </c>
      <c r="C12" s="116">
        <v>49590</v>
      </c>
      <c r="D12" s="116">
        <v>66120</v>
      </c>
      <c r="E12" s="116">
        <v>82650</v>
      </c>
      <c r="F12" s="116">
        <v>99180</v>
      </c>
      <c r="G12" s="116">
        <v>115640</v>
      </c>
      <c r="H12" s="116">
        <v>132160</v>
      </c>
      <c r="I12" s="116">
        <v>165200</v>
      </c>
      <c r="J12" s="116">
        <v>198240</v>
      </c>
    </row>
    <row r="13" spans="1:10" x14ac:dyDescent="0.35">
      <c r="A13" s="115">
        <v>6</v>
      </c>
      <c r="B13" s="115" t="s">
        <v>34</v>
      </c>
      <c r="C13" s="116">
        <v>53250</v>
      </c>
      <c r="D13" s="116">
        <v>71000</v>
      </c>
      <c r="E13" s="116">
        <v>88750</v>
      </c>
      <c r="F13" s="116">
        <v>106500</v>
      </c>
      <c r="G13" s="116">
        <v>124250</v>
      </c>
      <c r="H13" s="116">
        <v>142000</v>
      </c>
      <c r="I13" s="116">
        <v>177500</v>
      </c>
      <c r="J13" s="116">
        <v>213000</v>
      </c>
    </row>
    <row r="14" spans="1:10" x14ac:dyDescent="0.35">
      <c r="A14" s="109"/>
      <c r="B14" s="109"/>
      <c r="C14" s="116"/>
      <c r="D14" s="116"/>
      <c r="E14" s="116"/>
      <c r="F14" s="116"/>
      <c r="G14" s="116"/>
      <c r="H14" s="119"/>
      <c r="I14" s="116"/>
      <c r="J14" s="116"/>
    </row>
    <row r="15" spans="1:10" ht="62.5" thickBot="1" x14ac:dyDescent="0.4">
      <c r="A15" s="180" t="s">
        <v>66</v>
      </c>
      <c r="B15" s="180"/>
      <c r="C15" s="120" t="s">
        <v>61</v>
      </c>
      <c r="D15" s="121" t="s">
        <v>87</v>
      </c>
      <c r="E15" s="122" t="s">
        <v>80</v>
      </c>
      <c r="F15" s="122" t="s">
        <v>67</v>
      </c>
      <c r="G15" s="123"/>
      <c r="H15" s="123"/>
      <c r="I15" s="123"/>
      <c r="J15" s="109"/>
    </row>
    <row r="16" spans="1:10" ht="15" thickBot="1" x14ac:dyDescent="0.4">
      <c r="A16" s="109"/>
      <c r="B16" s="124" t="s">
        <v>52</v>
      </c>
      <c r="C16" s="125">
        <v>1</v>
      </c>
      <c r="D16" s="126" t="s">
        <v>56</v>
      </c>
      <c r="E16" s="123">
        <f>HLOOKUP(INT(LEFT($D16,FIND("%",$D16)-1))/100,$A$5:$J$13,$C16+3,FALSE)</f>
        <v>64260</v>
      </c>
      <c r="F16" s="127">
        <f>E16*0.3/12</f>
        <v>1606.5</v>
      </c>
      <c r="G16" s="123"/>
      <c r="H16" s="123"/>
      <c r="I16" s="123"/>
      <c r="J16" s="109"/>
    </row>
    <row r="17" spans="1:10" ht="15" customHeight="1" thickBot="1" x14ac:dyDescent="0.4">
      <c r="A17" s="109"/>
      <c r="B17" s="124" t="s">
        <v>58</v>
      </c>
      <c r="C17" s="128">
        <v>2</v>
      </c>
      <c r="D17" s="129" t="s">
        <v>56</v>
      </c>
      <c r="E17" s="123">
        <f t="shared" ref="E17:E19" si="1">HLOOKUP(INT(LEFT($D17,FIND("%",$D17)-1))/100,$A$5:$J$13,$C17+3,FALSE)</f>
        <v>73440</v>
      </c>
      <c r="F17" s="127">
        <f>E17*0.3/12</f>
        <v>1836</v>
      </c>
      <c r="G17" s="123"/>
      <c r="H17" s="123"/>
      <c r="I17" s="123"/>
      <c r="J17" s="109"/>
    </row>
    <row r="18" spans="1:10" ht="15.5" customHeight="1" thickBot="1" x14ac:dyDescent="0.4">
      <c r="A18" s="109"/>
      <c r="B18" s="124" t="s">
        <v>59</v>
      </c>
      <c r="C18" s="125">
        <v>3</v>
      </c>
      <c r="D18" s="126" t="s">
        <v>56</v>
      </c>
      <c r="E18" s="123">
        <f t="shared" si="1"/>
        <v>82620</v>
      </c>
      <c r="F18" s="127">
        <f>E18*0.3/12</f>
        <v>2065.5</v>
      </c>
      <c r="G18" s="123"/>
      <c r="H18" s="123"/>
      <c r="I18" s="123"/>
      <c r="J18" s="109"/>
    </row>
    <row r="19" spans="1:10" ht="15" thickBot="1" x14ac:dyDescent="0.4">
      <c r="A19" s="109"/>
      <c r="B19" s="124" t="s">
        <v>60</v>
      </c>
      <c r="C19" s="125">
        <v>4</v>
      </c>
      <c r="D19" s="126" t="s">
        <v>56</v>
      </c>
      <c r="E19" s="123">
        <f t="shared" si="1"/>
        <v>91800</v>
      </c>
      <c r="F19" s="127">
        <f>E19*0.3/12</f>
        <v>2295</v>
      </c>
      <c r="G19" s="123"/>
      <c r="H19" s="123"/>
      <c r="I19" s="123"/>
      <c r="J19" s="109"/>
    </row>
    <row r="20" spans="1:10" x14ac:dyDescent="0.35">
      <c r="A20" s="109"/>
      <c r="B20" s="130"/>
      <c r="C20" s="123"/>
      <c r="D20" s="131"/>
      <c r="E20" s="123"/>
      <c r="F20" s="123"/>
      <c r="G20" s="123"/>
      <c r="H20" s="123"/>
      <c r="I20" s="123"/>
      <c r="J20" s="109"/>
    </row>
    <row r="21" spans="1:10" x14ac:dyDescent="0.35">
      <c r="A21" s="109"/>
      <c r="B21" s="109"/>
      <c r="C21" s="109"/>
      <c r="D21" s="109"/>
      <c r="E21" s="109"/>
      <c r="F21" s="109"/>
      <c r="G21" s="109"/>
      <c r="H21" s="109"/>
      <c r="I21" s="109"/>
      <c r="J21" s="109"/>
    </row>
    <row r="22" spans="1:10" x14ac:dyDescent="0.35">
      <c r="A22" s="154"/>
      <c r="B22" s="154" t="s">
        <v>61</v>
      </c>
      <c r="C22" s="9"/>
      <c r="D22" s="9"/>
    </row>
    <row r="23" spans="1:10" x14ac:dyDescent="0.35">
      <c r="A23" s="155" t="s">
        <v>58</v>
      </c>
      <c r="B23" s="154">
        <v>1.5</v>
      </c>
      <c r="C23" s="156">
        <v>0.3</v>
      </c>
      <c r="D23" s="157">
        <v>860</v>
      </c>
    </row>
    <row r="24" spans="1:10" x14ac:dyDescent="0.35">
      <c r="A24" s="155"/>
      <c r="B24" s="155"/>
      <c r="C24" s="156">
        <v>0.4</v>
      </c>
      <c r="D24" s="157">
        <v>1147</v>
      </c>
    </row>
    <row r="25" spans="1:10" x14ac:dyDescent="0.35">
      <c r="A25" s="155"/>
      <c r="B25" s="155"/>
      <c r="C25" s="156">
        <v>0.5</v>
      </c>
      <c r="D25" s="157">
        <v>1434</v>
      </c>
    </row>
    <row r="26" spans="1:10" x14ac:dyDescent="0.35">
      <c r="A26" s="155"/>
      <c r="B26" s="155"/>
      <c r="C26" s="156">
        <v>0.6</v>
      </c>
      <c r="D26" s="157">
        <v>1721</v>
      </c>
    </row>
    <row r="27" spans="1:10" x14ac:dyDescent="0.35">
      <c r="A27" s="155"/>
      <c r="B27" s="155"/>
      <c r="C27" s="156">
        <v>0.7</v>
      </c>
      <c r="D27" s="157">
        <v>2008</v>
      </c>
    </row>
    <row r="28" spans="1:10" x14ac:dyDescent="0.35">
      <c r="A28" s="155"/>
      <c r="B28" s="155"/>
      <c r="C28" s="156">
        <v>0.8</v>
      </c>
      <c r="D28" s="157">
        <v>2295</v>
      </c>
    </row>
    <row r="29" spans="1:10" x14ac:dyDescent="0.35">
      <c r="A29" s="155"/>
      <c r="B29" s="155"/>
      <c r="C29" s="156"/>
      <c r="D29" s="157"/>
    </row>
    <row r="30" spans="1:10" x14ac:dyDescent="0.35">
      <c r="A30" s="155" t="s">
        <v>60</v>
      </c>
      <c r="B30" s="154">
        <v>4.5</v>
      </c>
      <c r="C30" s="156">
        <v>0.3</v>
      </c>
      <c r="D30" s="158">
        <v>1193</v>
      </c>
    </row>
    <row r="31" spans="1:10" x14ac:dyDescent="0.35">
      <c r="A31" s="9"/>
      <c r="B31" s="9"/>
      <c r="C31" s="156">
        <v>0.4</v>
      </c>
      <c r="D31" s="158">
        <v>1591</v>
      </c>
    </row>
    <row r="32" spans="1:10" x14ac:dyDescent="0.35">
      <c r="A32" s="9"/>
      <c r="B32" s="9"/>
      <c r="C32" s="156">
        <v>0.5</v>
      </c>
      <c r="D32" s="158">
        <v>1989</v>
      </c>
    </row>
    <row r="33" spans="1:4" x14ac:dyDescent="0.35">
      <c r="A33" s="9"/>
      <c r="B33" s="9"/>
      <c r="C33" s="156">
        <v>0.6</v>
      </c>
      <c r="D33" s="158">
        <v>2387</v>
      </c>
    </row>
    <row r="34" spans="1:4" x14ac:dyDescent="0.35">
      <c r="A34" s="9"/>
      <c r="B34" s="9"/>
      <c r="C34" s="156">
        <v>0.7</v>
      </c>
      <c r="D34" s="158">
        <v>2785</v>
      </c>
    </row>
    <row r="35" spans="1:4" x14ac:dyDescent="0.35">
      <c r="A35" s="9"/>
      <c r="B35" s="9"/>
      <c r="C35" s="156">
        <v>0.8</v>
      </c>
      <c r="D35" s="158">
        <v>3183</v>
      </c>
    </row>
  </sheetData>
  <mergeCells count="8">
    <mergeCell ref="A15:B15"/>
    <mergeCell ref="A2:J2"/>
    <mergeCell ref="A1:J1"/>
    <mergeCell ref="A3:B3"/>
    <mergeCell ref="D3:E3"/>
    <mergeCell ref="B4:C4"/>
    <mergeCell ref="D4:E4"/>
    <mergeCell ref="A7:B7"/>
  </mergeCells>
  <dataValidations count="2">
    <dataValidation type="list" allowBlank="1" showInputMessage="1" showErrorMessage="1" sqref="D16:D19" xr:uid="{255F86ED-7EF6-4987-BED9-616F7CECE6D5}">
      <formula1>$C$7:$J$7</formula1>
    </dataValidation>
    <dataValidation type="list" allowBlank="1" showInputMessage="1" showErrorMessage="1" sqref="C20" xr:uid="{2D671C06-271C-479C-BD6C-812D4431A4E4}">
      <formula1>$C$16:$F$16</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F1B0-B168-44DC-8157-373E9574E233}">
  <dimension ref="A1:H34"/>
  <sheetViews>
    <sheetView topLeftCell="A12" workbookViewId="0">
      <selection activeCell="A20" sqref="A20:H34"/>
    </sheetView>
  </sheetViews>
  <sheetFormatPr defaultRowHeight="14.5" x14ac:dyDescent="0.35"/>
  <cols>
    <col min="2" max="2" width="23.81640625" customWidth="1"/>
    <col min="3" max="3" width="15.90625" customWidth="1"/>
    <col min="4" max="4" width="23.36328125" customWidth="1"/>
    <col min="5" max="5" width="19.81640625" customWidth="1"/>
    <col min="6" max="6" width="21" customWidth="1"/>
    <col min="7" max="7" width="18" customWidth="1"/>
    <col min="8" max="8" width="20" customWidth="1"/>
  </cols>
  <sheetData>
    <row r="1" spans="1:8" ht="18" customHeight="1" x14ac:dyDescent="0.35">
      <c r="A1" s="189" t="s">
        <v>65</v>
      </c>
      <c r="B1" s="189"/>
      <c r="C1" s="189"/>
      <c r="D1" s="189"/>
      <c r="E1" s="189"/>
      <c r="F1" s="189"/>
      <c r="G1" s="189"/>
      <c r="H1" s="189"/>
    </row>
    <row r="2" spans="1:8" ht="18" customHeight="1" x14ac:dyDescent="0.35">
      <c r="A2" s="190"/>
      <c r="B2" s="189"/>
      <c r="C2" s="189"/>
      <c r="D2" s="189"/>
      <c r="E2" s="189"/>
      <c r="F2" s="189"/>
      <c r="G2" s="189"/>
      <c r="H2" s="189"/>
    </row>
    <row r="3" spans="1:8" ht="75.5" customHeight="1" x14ac:dyDescent="0.35">
      <c r="A3" s="187" t="s">
        <v>85</v>
      </c>
      <c r="B3" s="187"/>
      <c r="C3" s="132"/>
      <c r="D3" s="191"/>
      <c r="E3" s="191"/>
      <c r="F3" s="133"/>
      <c r="G3" s="134"/>
      <c r="H3" s="134"/>
    </row>
    <row r="4" spans="1:8" ht="18" x14ac:dyDescent="0.35">
      <c r="A4" s="132"/>
      <c r="B4" s="188"/>
      <c r="C4" s="188"/>
      <c r="D4" s="192"/>
      <c r="E4" s="192"/>
      <c r="F4" s="134"/>
      <c r="G4" s="134"/>
      <c r="H4" s="134"/>
    </row>
    <row r="5" spans="1:8" x14ac:dyDescent="0.35">
      <c r="A5" s="132"/>
      <c r="B5" s="132"/>
      <c r="C5" s="132">
        <f t="shared" ref="C5:H5" si="0">INT(LEFT(C$7,FIND("%",C$7)-1))/100</f>
        <v>0.3</v>
      </c>
      <c r="D5" s="132">
        <f t="shared" si="0"/>
        <v>0.4</v>
      </c>
      <c r="E5" s="132">
        <f t="shared" si="0"/>
        <v>0.5</v>
      </c>
      <c r="F5" s="132">
        <f t="shared" si="0"/>
        <v>0.6</v>
      </c>
      <c r="G5" s="132">
        <f t="shared" si="0"/>
        <v>0.7</v>
      </c>
      <c r="H5" s="132">
        <f t="shared" si="0"/>
        <v>0.8</v>
      </c>
    </row>
    <row r="6" spans="1:8" x14ac:dyDescent="0.35">
      <c r="A6" s="135"/>
      <c r="B6" s="135"/>
      <c r="C6" s="132"/>
      <c r="D6" s="132"/>
      <c r="E6" s="132"/>
      <c r="F6" s="132"/>
      <c r="G6" s="132"/>
      <c r="H6" s="132"/>
    </row>
    <row r="7" spans="1:8" ht="124" customHeight="1" x14ac:dyDescent="0.35">
      <c r="A7" s="187" t="s">
        <v>86</v>
      </c>
      <c r="B7" s="187"/>
      <c r="C7" s="136" t="s">
        <v>53</v>
      </c>
      <c r="D7" s="136" t="s">
        <v>54</v>
      </c>
      <c r="E7" s="136" t="s">
        <v>55</v>
      </c>
      <c r="F7" s="136" t="s">
        <v>56</v>
      </c>
      <c r="G7" s="136" t="s">
        <v>64</v>
      </c>
      <c r="H7" s="137" t="s">
        <v>57</v>
      </c>
    </row>
    <row r="8" spans="1:8" x14ac:dyDescent="0.35">
      <c r="A8" s="138">
        <v>1</v>
      </c>
      <c r="B8" s="138" t="s">
        <v>34</v>
      </c>
      <c r="C8" s="139">
        <f>Table14[[#This Row],[30% AMI]]</f>
        <v>32130</v>
      </c>
      <c r="D8" s="139">
        <f>Table14[[#This Row],[40% AMI]]</f>
        <v>42840</v>
      </c>
      <c r="E8" s="139">
        <f>Table14[[#This Row],[50% AMI]]</f>
        <v>53550</v>
      </c>
      <c r="F8" s="139">
        <f>Table14[[#This Row],[60% AMI ]]</f>
        <v>64260</v>
      </c>
      <c r="G8" s="139">
        <f>Table14[[#This Row],[70% AMI ]]</f>
        <v>74970</v>
      </c>
      <c r="H8" s="139">
        <f>Table14[[#This Row],[80% AMI]]</f>
        <v>85680</v>
      </c>
    </row>
    <row r="9" spans="1:8" x14ac:dyDescent="0.35">
      <c r="A9" s="138">
        <v>2</v>
      </c>
      <c r="B9" s="138" t="s">
        <v>88</v>
      </c>
      <c r="C9" s="139">
        <f>Table14[[#This Row],[30% AMI]]</f>
        <v>36720</v>
      </c>
      <c r="D9" s="139">
        <f>Table14[[#This Row],[40% AMI]]</f>
        <v>48960</v>
      </c>
      <c r="E9" s="139">
        <f>Table14[[#This Row],[50% AMI]]</f>
        <v>61200</v>
      </c>
      <c r="F9" s="139">
        <f>Table14[[#This Row],[60% AMI ]]</f>
        <v>73440</v>
      </c>
      <c r="G9" s="139">
        <f>Table14[[#This Row],[70% AMI ]]</f>
        <v>85680</v>
      </c>
      <c r="H9" s="139">
        <f>Table14[[#This Row],[80% AMI]]</f>
        <v>97920</v>
      </c>
    </row>
    <row r="10" spans="1:8" x14ac:dyDescent="0.35">
      <c r="A10" s="138">
        <v>3</v>
      </c>
      <c r="B10" s="138" t="s">
        <v>88</v>
      </c>
      <c r="C10" s="139">
        <f>Table14[[#This Row],[30% AMI]]</f>
        <v>41310</v>
      </c>
      <c r="D10" s="139">
        <f>Table14[[#This Row],[40% AMI]]</f>
        <v>55080</v>
      </c>
      <c r="E10" s="139">
        <f>Table14[[#This Row],[50% AMI]]</f>
        <v>68850</v>
      </c>
      <c r="F10" s="139">
        <f>Table14[[#This Row],[60% AMI ]]</f>
        <v>82620</v>
      </c>
      <c r="G10" s="139">
        <f>Table14[[#This Row],[70% AMI ]]</f>
        <v>96390</v>
      </c>
      <c r="H10" s="139">
        <f>Table14[[#This Row],[80% AMI]]</f>
        <v>110160</v>
      </c>
    </row>
    <row r="11" spans="1:8" x14ac:dyDescent="0.35">
      <c r="A11" s="138">
        <v>4</v>
      </c>
      <c r="B11" s="138" t="s">
        <v>88</v>
      </c>
      <c r="C11" s="140">
        <f>Table14[[#This Row],[30% AMI]]</f>
        <v>45900</v>
      </c>
      <c r="D11" s="139">
        <f>Table14[[#This Row],[40% AMI]]</f>
        <v>61200</v>
      </c>
      <c r="E11" s="139">
        <f>Table14[[#This Row],[50% AMI]]</f>
        <v>76500</v>
      </c>
      <c r="F11" s="139">
        <f>Table14[[#This Row],[60% AMI ]]</f>
        <v>91800</v>
      </c>
      <c r="G11" s="139">
        <f>Table14[[#This Row],[70% AMI ]]</f>
        <v>107100</v>
      </c>
      <c r="H11" s="139">
        <f>Table14[[#This Row],[80% AMI]]</f>
        <v>122400</v>
      </c>
    </row>
    <row r="12" spans="1:8" x14ac:dyDescent="0.35">
      <c r="A12" s="132"/>
      <c r="B12" s="132"/>
      <c r="C12" s="139"/>
      <c r="D12" s="139"/>
      <c r="E12" s="139"/>
      <c r="F12" s="139"/>
      <c r="G12" s="139"/>
      <c r="H12" s="141"/>
    </row>
    <row r="13" spans="1:8" ht="62.5" thickBot="1" x14ac:dyDescent="0.4">
      <c r="A13" s="188" t="s">
        <v>66</v>
      </c>
      <c r="B13" s="188"/>
      <c r="C13" s="142" t="s">
        <v>61</v>
      </c>
      <c r="D13" s="153" t="s">
        <v>90</v>
      </c>
      <c r="E13" s="143" t="s">
        <v>80</v>
      </c>
      <c r="F13" s="143" t="s">
        <v>67</v>
      </c>
      <c r="G13" s="144"/>
      <c r="H13" s="144"/>
    </row>
    <row r="14" spans="1:8" ht="15" thickBot="1" x14ac:dyDescent="0.4">
      <c r="A14" s="132"/>
      <c r="B14" s="145" t="s">
        <v>52</v>
      </c>
      <c r="C14" s="146">
        <v>1</v>
      </c>
      <c r="D14" s="147" t="s">
        <v>57</v>
      </c>
      <c r="E14" s="144">
        <f>HLOOKUP(INT(LEFT($D14,FIND("%",$D14)-1))/100,$A$5:$H$11,$C14+3,FALSE)</f>
        <v>85680</v>
      </c>
      <c r="F14" s="148">
        <f>E14*0.3/12</f>
        <v>2142</v>
      </c>
      <c r="G14" s="144"/>
      <c r="H14" s="144"/>
    </row>
    <row r="15" spans="1:8" ht="15" thickBot="1" x14ac:dyDescent="0.4">
      <c r="A15" s="132"/>
      <c r="B15" s="145" t="s">
        <v>58</v>
      </c>
      <c r="C15" s="149">
        <v>2</v>
      </c>
      <c r="D15" s="150" t="s">
        <v>56</v>
      </c>
      <c r="E15" s="144">
        <f>HLOOKUP(INT(LEFT($D15,FIND("%",$D15)-1))/100,$A$5:$J$13,$C15+3,FALSE)</f>
        <v>73440</v>
      </c>
      <c r="F15" s="148">
        <f>E15*0.3/12</f>
        <v>1836</v>
      </c>
      <c r="G15" s="144"/>
      <c r="H15" s="144"/>
    </row>
    <row r="16" spans="1:8" ht="15" thickBot="1" x14ac:dyDescent="0.4">
      <c r="A16" s="132"/>
      <c r="B16" s="145" t="s">
        <v>59</v>
      </c>
      <c r="C16" s="146">
        <v>3</v>
      </c>
      <c r="D16" s="147" t="s">
        <v>56</v>
      </c>
      <c r="E16" s="144">
        <f>HLOOKUP(INT(LEFT($D16,FIND("%",$D16)-1))/100,$A$5:$H$11,$C16+3,FALSE)</f>
        <v>82620</v>
      </c>
      <c r="F16" s="148">
        <f>E16*0.3/12</f>
        <v>2065.5</v>
      </c>
      <c r="G16" s="144"/>
      <c r="H16" s="144"/>
    </row>
    <row r="17" spans="1:8" ht="15" thickBot="1" x14ac:dyDescent="0.4">
      <c r="A17" s="132"/>
      <c r="B17" s="145" t="s">
        <v>60</v>
      </c>
      <c r="C17" s="146">
        <v>4</v>
      </c>
      <c r="D17" s="147" t="s">
        <v>56</v>
      </c>
      <c r="E17" s="144">
        <f>HLOOKUP(INT(LEFT($D17,FIND("%",$D17)-1))/100,$A$5:$H$11,$C17+3,FALSE)</f>
        <v>91800</v>
      </c>
      <c r="F17" s="148">
        <f>E17*0.3/12</f>
        <v>2295</v>
      </c>
      <c r="G17" s="144"/>
      <c r="H17" s="144"/>
    </row>
    <row r="18" spans="1:8" x14ac:dyDescent="0.35">
      <c r="A18" s="132"/>
      <c r="B18" s="151"/>
      <c r="C18" s="144"/>
      <c r="D18" s="152"/>
      <c r="E18" s="144"/>
      <c r="F18" s="144"/>
      <c r="G18" s="144"/>
      <c r="H18" s="144"/>
    </row>
    <row r="19" spans="1:8" x14ac:dyDescent="0.35">
      <c r="A19" s="132"/>
      <c r="B19" s="132"/>
      <c r="C19" s="132"/>
      <c r="D19" s="132"/>
      <c r="E19" s="132"/>
      <c r="F19" s="132"/>
      <c r="G19" s="132"/>
      <c r="H19" s="132"/>
    </row>
    <row r="20" spans="1:8" x14ac:dyDescent="0.35">
      <c r="A20" s="186" t="s">
        <v>91</v>
      </c>
      <c r="B20" s="186"/>
      <c r="C20" s="186"/>
      <c r="D20" s="186"/>
      <c r="E20" s="186"/>
      <c r="F20" s="186"/>
      <c r="G20" s="186"/>
      <c r="H20" s="186"/>
    </row>
    <row r="21" spans="1:8" x14ac:dyDescent="0.35">
      <c r="B21" s="154"/>
      <c r="C21" s="154" t="s">
        <v>61</v>
      </c>
      <c r="D21" s="9"/>
      <c r="E21" s="9"/>
    </row>
    <row r="22" spans="1:8" x14ac:dyDescent="0.35">
      <c r="B22" s="155" t="s">
        <v>58</v>
      </c>
      <c r="C22" s="154">
        <v>1.5</v>
      </c>
      <c r="D22" s="156">
        <v>0.3</v>
      </c>
      <c r="E22" s="157">
        <v>860</v>
      </c>
    </row>
    <row r="23" spans="1:8" x14ac:dyDescent="0.35">
      <c r="B23" s="155"/>
      <c r="C23" s="155"/>
      <c r="D23" s="156">
        <v>0.4</v>
      </c>
      <c r="E23" s="157">
        <v>1147</v>
      </c>
    </row>
    <row r="24" spans="1:8" x14ac:dyDescent="0.35">
      <c r="B24" s="155"/>
      <c r="C24" s="155"/>
      <c r="D24" s="156">
        <v>0.5</v>
      </c>
      <c r="E24" s="157">
        <v>1434</v>
      </c>
    </row>
    <row r="25" spans="1:8" x14ac:dyDescent="0.35">
      <c r="B25" s="155"/>
      <c r="C25" s="155"/>
      <c r="D25" s="156">
        <v>0.6</v>
      </c>
      <c r="E25" s="157">
        <v>1721</v>
      </c>
    </row>
    <row r="26" spans="1:8" x14ac:dyDescent="0.35">
      <c r="B26" s="155"/>
      <c r="C26" s="155"/>
      <c r="D26" s="156">
        <v>0.7</v>
      </c>
      <c r="E26" s="157">
        <v>2008</v>
      </c>
    </row>
    <row r="27" spans="1:8" x14ac:dyDescent="0.35">
      <c r="B27" s="155"/>
      <c r="C27" s="155"/>
      <c r="D27" s="156">
        <v>0.8</v>
      </c>
      <c r="E27" s="157">
        <v>2295</v>
      </c>
    </row>
    <row r="28" spans="1:8" x14ac:dyDescent="0.35">
      <c r="B28" s="155"/>
      <c r="C28" s="155"/>
      <c r="D28" s="156"/>
      <c r="E28" s="157"/>
    </row>
    <row r="29" spans="1:8" x14ac:dyDescent="0.35">
      <c r="B29" s="155" t="s">
        <v>60</v>
      </c>
      <c r="C29" s="154">
        <v>4.5</v>
      </c>
      <c r="D29" s="156">
        <v>0.3</v>
      </c>
      <c r="E29" s="158">
        <v>1193</v>
      </c>
    </row>
    <row r="30" spans="1:8" x14ac:dyDescent="0.35">
      <c r="B30" s="9"/>
      <c r="C30" s="9"/>
      <c r="D30" s="156">
        <v>0.4</v>
      </c>
      <c r="E30" s="158">
        <v>1591</v>
      </c>
    </row>
    <row r="31" spans="1:8" x14ac:dyDescent="0.35">
      <c r="B31" s="9"/>
      <c r="C31" s="9"/>
      <c r="D31" s="156">
        <v>0.5</v>
      </c>
      <c r="E31" s="158">
        <v>1989</v>
      </c>
    </row>
    <row r="32" spans="1:8" x14ac:dyDescent="0.35">
      <c r="B32" s="9"/>
      <c r="C32" s="9"/>
      <c r="D32" s="156">
        <v>0.6</v>
      </c>
      <c r="E32" s="158">
        <v>2387</v>
      </c>
    </row>
    <row r="33" spans="2:5" x14ac:dyDescent="0.35">
      <c r="B33" s="9"/>
      <c r="C33" s="9"/>
      <c r="D33" s="156">
        <v>0.7</v>
      </c>
      <c r="E33" s="158">
        <v>2785</v>
      </c>
    </row>
    <row r="34" spans="2:5" x14ac:dyDescent="0.35">
      <c r="B34" s="9"/>
      <c r="C34" s="9"/>
      <c r="D34" s="156">
        <v>0.8</v>
      </c>
      <c r="E34" s="158">
        <v>3183</v>
      </c>
    </row>
  </sheetData>
  <mergeCells count="9">
    <mergeCell ref="A20:H20"/>
    <mergeCell ref="A7:B7"/>
    <mergeCell ref="A13:B13"/>
    <mergeCell ref="A1:H1"/>
    <mergeCell ref="A2:H2"/>
    <mergeCell ref="A3:B3"/>
    <mergeCell ref="D3:E3"/>
    <mergeCell ref="B4:C4"/>
    <mergeCell ref="D4:E4"/>
  </mergeCells>
  <dataValidations count="2">
    <dataValidation type="list" allowBlank="1" showInputMessage="1" showErrorMessage="1" sqref="C18" xr:uid="{C97D5A1E-83E3-4B32-89A1-68BF220E94A0}">
      <formula1>$C$14:$F$14</formula1>
    </dataValidation>
    <dataValidation type="list" allowBlank="1" showInputMessage="1" showErrorMessage="1" sqref="D14:D17" xr:uid="{115B8942-1D51-4030-8341-32FE592D4E72}">
      <formula1>$C$7:$H$7</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AB719-8327-4A2E-96A0-0B8432F69C72}">
  <dimension ref="A1:Q23"/>
  <sheetViews>
    <sheetView topLeftCell="E4" zoomScale="188" zoomScaleNormal="188" workbookViewId="0">
      <selection activeCell="F9" sqref="F9"/>
    </sheetView>
  </sheetViews>
  <sheetFormatPr defaultRowHeight="14.5" x14ac:dyDescent="0.35"/>
  <cols>
    <col min="1" max="1" width="2.08984375" customWidth="1"/>
    <col min="2" max="2" width="44" customWidth="1"/>
    <col min="3" max="3" width="13.08984375" customWidth="1"/>
    <col min="4" max="4" width="17.81640625" customWidth="1"/>
    <col min="5" max="5" width="18.81640625" customWidth="1"/>
    <col min="6" max="6" width="16.81640625" customWidth="1"/>
    <col min="7" max="7" width="12.81640625" customWidth="1"/>
    <col min="8" max="8" width="12.90625" customWidth="1"/>
    <col min="9" max="9" width="13.90625" customWidth="1"/>
    <col min="10" max="10" width="13.36328125" customWidth="1"/>
    <col min="12" max="12" width="11.453125" bestFit="1" customWidth="1"/>
    <col min="13" max="13" width="11.81640625" customWidth="1"/>
    <col min="14" max="14" width="11.453125" bestFit="1" customWidth="1"/>
  </cols>
  <sheetData>
    <row r="1" spans="1:14" ht="18" x14ac:dyDescent="0.35">
      <c r="A1" s="85"/>
      <c r="B1" s="195" t="s">
        <v>65</v>
      </c>
      <c r="C1" s="195"/>
      <c r="D1" s="195"/>
      <c r="E1" s="195"/>
      <c r="F1" s="195"/>
      <c r="G1" s="195"/>
      <c r="H1" s="195"/>
      <c r="I1" s="195"/>
      <c r="J1" s="195"/>
    </row>
    <row r="2" spans="1:14" ht="46.5" customHeight="1" x14ac:dyDescent="0.35">
      <c r="A2" s="193" t="s">
        <v>85</v>
      </c>
      <c r="B2" s="193"/>
      <c r="C2" s="85"/>
      <c r="D2" s="196" t="s">
        <v>89</v>
      </c>
      <c r="E2" s="196"/>
      <c r="F2" s="86"/>
      <c r="G2" s="86"/>
      <c r="H2" s="86"/>
      <c r="I2" s="86"/>
      <c r="J2" s="86"/>
    </row>
    <row r="3" spans="1:14" ht="17.899999999999999" customHeight="1" x14ac:dyDescent="0.35">
      <c r="A3" s="85"/>
      <c r="B3" s="194"/>
      <c r="C3" s="194"/>
      <c r="D3" s="197"/>
      <c r="E3" s="197"/>
      <c r="F3" s="86"/>
      <c r="G3" s="86"/>
      <c r="H3" s="86"/>
      <c r="I3" s="86"/>
      <c r="J3" s="86"/>
    </row>
    <row r="4" spans="1:14" x14ac:dyDescent="0.35">
      <c r="A4" s="85"/>
      <c r="B4" s="85"/>
      <c r="C4" s="85">
        <f t="shared" ref="C4:J4" si="0">INT(LEFT(C$6,FIND("%",C$6)-1))/100</f>
        <v>0.3</v>
      </c>
      <c r="D4" s="85">
        <f t="shared" si="0"/>
        <v>0.4</v>
      </c>
      <c r="E4" s="85">
        <f t="shared" si="0"/>
        <v>0.5</v>
      </c>
      <c r="F4" s="85">
        <f t="shared" si="0"/>
        <v>0.6</v>
      </c>
      <c r="G4" s="85">
        <f t="shared" si="0"/>
        <v>0.7</v>
      </c>
      <c r="H4" s="85">
        <f t="shared" si="0"/>
        <v>0.8</v>
      </c>
      <c r="I4" s="85">
        <f t="shared" si="0"/>
        <v>1</v>
      </c>
      <c r="J4" s="85">
        <f t="shared" si="0"/>
        <v>1.2</v>
      </c>
    </row>
    <row r="5" spans="1:14" x14ac:dyDescent="0.35">
      <c r="A5" s="87"/>
      <c r="B5" s="87"/>
      <c r="C5" s="85"/>
      <c r="D5" s="85"/>
      <c r="E5" s="85"/>
      <c r="F5" s="85"/>
      <c r="G5" s="85"/>
      <c r="H5" s="85"/>
      <c r="I5" s="85"/>
      <c r="J5" s="85"/>
      <c r="L5" s="8"/>
    </row>
    <row r="6" spans="1:14" ht="66.5" customHeight="1" x14ac:dyDescent="0.35">
      <c r="A6" s="193" t="s">
        <v>86</v>
      </c>
      <c r="B6" s="193"/>
      <c r="C6" s="88" t="s">
        <v>53</v>
      </c>
      <c r="D6" s="88" t="s">
        <v>54</v>
      </c>
      <c r="E6" s="88" t="s">
        <v>55</v>
      </c>
      <c r="F6" s="88" t="s">
        <v>56</v>
      </c>
      <c r="G6" s="88" t="s">
        <v>64</v>
      </c>
      <c r="H6" s="89" t="s">
        <v>57</v>
      </c>
      <c r="I6" s="88" t="s">
        <v>63</v>
      </c>
      <c r="J6" s="88" t="s">
        <v>62</v>
      </c>
    </row>
    <row r="7" spans="1:14" x14ac:dyDescent="0.35">
      <c r="A7" s="90">
        <v>1</v>
      </c>
      <c r="B7" s="90" t="s">
        <v>34</v>
      </c>
      <c r="C7" s="91">
        <v>32130</v>
      </c>
      <c r="D7" s="91">
        <v>42840</v>
      </c>
      <c r="E7" s="91">
        <v>53550</v>
      </c>
      <c r="F7" s="91">
        <v>64260</v>
      </c>
      <c r="G7" s="91">
        <v>74970</v>
      </c>
      <c r="H7" s="91">
        <v>85680</v>
      </c>
      <c r="I7" s="91">
        <v>107100</v>
      </c>
      <c r="J7" s="91">
        <v>128520</v>
      </c>
      <c r="L7" s="8"/>
    </row>
    <row r="8" spans="1:14" x14ac:dyDescent="0.35">
      <c r="A8" s="90">
        <v>2</v>
      </c>
      <c r="B8" s="90" t="s">
        <v>34</v>
      </c>
      <c r="C8" s="91">
        <v>36720</v>
      </c>
      <c r="D8" s="91">
        <v>48960</v>
      </c>
      <c r="E8" s="91">
        <v>61200</v>
      </c>
      <c r="F8" s="91">
        <v>73440</v>
      </c>
      <c r="G8" s="91">
        <v>85680</v>
      </c>
      <c r="H8" s="91">
        <v>97920</v>
      </c>
      <c r="I8" s="91">
        <v>122400</v>
      </c>
      <c r="J8" s="91">
        <v>146880</v>
      </c>
      <c r="L8" s="8"/>
    </row>
    <row r="9" spans="1:14" x14ac:dyDescent="0.35">
      <c r="A9" s="90">
        <v>3</v>
      </c>
      <c r="B9" s="90" t="s">
        <v>34</v>
      </c>
      <c r="C9" s="91">
        <v>41310</v>
      </c>
      <c r="D9" s="91">
        <v>55080</v>
      </c>
      <c r="E9" s="91">
        <v>68850</v>
      </c>
      <c r="F9" s="91">
        <v>82620</v>
      </c>
      <c r="G9" s="91">
        <v>96390</v>
      </c>
      <c r="H9" s="91">
        <v>110160</v>
      </c>
      <c r="I9" s="91">
        <v>137700</v>
      </c>
      <c r="J9" s="91">
        <v>165240</v>
      </c>
    </row>
    <row r="10" spans="1:14" x14ac:dyDescent="0.35">
      <c r="A10" s="90">
        <v>4</v>
      </c>
      <c r="B10" s="90" t="s">
        <v>34</v>
      </c>
      <c r="C10" s="92">
        <v>45900</v>
      </c>
      <c r="D10" s="91">
        <v>61200</v>
      </c>
      <c r="E10" s="91">
        <v>76500</v>
      </c>
      <c r="F10" s="91">
        <v>91800</v>
      </c>
      <c r="G10" s="91">
        <v>107100</v>
      </c>
      <c r="H10" s="91">
        <v>122400</v>
      </c>
      <c r="I10" s="93">
        <v>153000</v>
      </c>
      <c r="J10" s="91">
        <v>183600</v>
      </c>
    </row>
    <row r="11" spans="1:14" x14ac:dyDescent="0.35">
      <c r="A11" s="90">
        <v>5</v>
      </c>
      <c r="B11" s="90" t="s">
        <v>34</v>
      </c>
      <c r="C11" s="91">
        <v>49560</v>
      </c>
      <c r="D11" s="91">
        <v>66080</v>
      </c>
      <c r="E11" s="91">
        <v>82600</v>
      </c>
      <c r="F11" s="91">
        <v>99120</v>
      </c>
      <c r="G11" s="91">
        <v>115640</v>
      </c>
      <c r="H11" s="91">
        <v>132160</v>
      </c>
      <c r="I11" s="91">
        <v>165200</v>
      </c>
      <c r="J11" s="91">
        <v>198240</v>
      </c>
    </row>
    <row r="12" spans="1:14" x14ac:dyDescent="0.35">
      <c r="A12" s="90">
        <v>6</v>
      </c>
      <c r="B12" s="90" t="s">
        <v>34</v>
      </c>
      <c r="C12" s="91">
        <v>53250</v>
      </c>
      <c r="D12" s="91">
        <v>71000</v>
      </c>
      <c r="E12" s="91">
        <v>88750</v>
      </c>
      <c r="F12" s="91">
        <v>106500</v>
      </c>
      <c r="G12" s="91">
        <v>124250</v>
      </c>
      <c r="H12" s="91">
        <v>142000</v>
      </c>
      <c r="I12" s="91">
        <v>177500</v>
      </c>
      <c r="J12" s="91">
        <v>213000</v>
      </c>
      <c r="L12" s="8"/>
    </row>
    <row r="13" spans="1:14" x14ac:dyDescent="0.35">
      <c r="A13" s="85"/>
      <c r="B13" s="85"/>
      <c r="C13" s="91"/>
      <c r="D13" s="91"/>
      <c r="E13" s="91"/>
      <c r="F13" s="91"/>
      <c r="G13" s="91"/>
      <c r="H13" s="94"/>
      <c r="I13" s="91"/>
      <c r="J13" s="91"/>
      <c r="N13" s="8"/>
    </row>
    <row r="14" spans="1:14" ht="60" customHeight="1" thickBot="1" x14ac:dyDescent="0.4">
      <c r="A14" s="194" t="s">
        <v>66</v>
      </c>
      <c r="B14" s="194"/>
      <c r="C14" s="95" t="s">
        <v>61</v>
      </c>
      <c r="D14" s="96" t="s">
        <v>79</v>
      </c>
      <c r="E14" s="97" t="s">
        <v>80</v>
      </c>
      <c r="F14" s="97" t="s">
        <v>67</v>
      </c>
      <c r="G14" s="98"/>
      <c r="H14" s="98"/>
      <c r="I14" s="98"/>
      <c r="J14" s="85"/>
    </row>
    <row r="15" spans="1:14" ht="26.5" customHeight="1" thickBot="1" x14ac:dyDescent="0.4">
      <c r="A15" s="85"/>
      <c r="B15" s="99" t="s">
        <v>52</v>
      </c>
      <c r="C15" s="100">
        <v>1</v>
      </c>
      <c r="D15" s="101" t="s">
        <v>62</v>
      </c>
      <c r="E15" s="98">
        <f>HLOOKUP(INT(LEFT($D15,FIND("%",$D15)-1))/100,$A$4:$J$12,$C15+3,FALSE)</f>
        <v>128520</v>
      </c>
      <c r="F15" s="102">
        <f>E15*0.3/12</f>
        <v>3213</v>
      </c>
      <c r="G15" s="98"/>
      <c r="H15" s="98"/>
      <c r="I15" s="98"/>
      <c r="J15" s="85"/>
      <c r="M15" s="8"/>
    </row>
    <row r="16" spans="1:14" ht="26.5" customHeight="1" thickBot="1" x14ac:dyDescent="0.4">
      <c r="A16" s="85"/>
      <c r="B16" s="99" t="s">
        <v>58</v>
      </c>
      <c r="C16" s="103">
        <v>2</v>
      </c>
      <c r="D16" s="104" t="s">
        <v>62</v>
      </c>
      <c r="E16" s="98">
        <f t="shared" ref="E16:E17" si="1">HLOOKUP(INT(LEFT($D16,FIND("%",$D16)-1))/100,$A$4:$J$12,$C16+3,FALSE)</f>
        <v>146880</v>
      </c>
      <c r="F16" s="102">
        <f>E16*0.3/12</f>
        <v>3672</v>
      </c>
      <c r="G16" s="98"/>
      <c r="H16" s="98"/>
      <c r="I16" s="98"/>
      <c r="J16" s="85"/>
    </row>
    <row r="17" spans="1:17" ht="26.5" customHeight="1" thickBot="1" x14ac:dyDescent="0.4">
      <c r="A17" s="85"/>
      <c r="B17" s="99" t="s">
        <v>59</v>
      </c>
      <c r="C17" s="100">
        <v>3</v>
      </c>
      <c r="D17" s="101" t="s">
        <v>62</v>
      </c>
      <c r="E17" s="98">
        <f t="shared" si="1"/>
        <v>165240</v>
      </c>
      <c r="F17" s="102">
        <f>E17*0.3/12</f>
        <v>4131</v>
      </c>
      <c r="G17" s="98"/>
      <c r="H17" s="98"/>
      <c r="I17" s="98"/>
      <c r="J17" s="85"/>
    </row>
    <row r="18" spans="1:17" ht="26.5" customHeight="1" thickBot="1" x14ac:dyDescent="0.4">
      <c r="A18" s="85"/>
      <c r="B18" s="99" t="s">
        <v>60</v>
      </c>
      <c r="C18" s="100">
        <v>4</v>
      </c>
      <c r="D18" s="101" t="s">
        <v>62</v>
      </c>
      <c r="E18" s="98">
        <f>HLOOKUP(INT(LEFT($D18,FIND("%",$D18)-1))/100,$A$4:$J$12,$C18+3,FALSE)</f>
        <v>183600</v>
      </c>
      <c r="F18" s="102">
        <f>E18*0.3/12</f>
        <v>4590</v>
      </c>
      <c r="G18" s="98"/>
      <c r="H18" s="98"/>
      <c r="I18" s="98"/>
      <c r="J18" s="85"/>
      <c r="K18" s="13"/>
    </row>
    <row r="19" spans="1:17" x14ac:dyDescent="0.35">
      <c r="A19" s="85"/>
      <c r="B19" s="105"/>
      <c r="C19" s="98"/>
      <c r="D19" s="106"/>
      <c r="E19" s="98"/>
      <c r="F19" s="98"/>
      <c r="G19" s="98"/>
      <c r="H19" s="98"/>
      <c r="I19" s="98"/>
      <c r="J19" s="85"/>
    </row>
    <row r="20" spans="1:17" x14ac:dyDescent="0.35">
      <c r="A20" s="85"/>
      <c r="B20" s="85"/>
      <c r="C20" s="85"/>
      <c r="D20" s="85"/>
      <c r="E20" s="85"/>
      <c r="F20" s="85"/>
      <c r="G20" s="85"/>
      <c r="H20" s="85"/>
      <c r="I20" s="85"/>
      <c r="J20" s="85"/>
    </row>
    <row r="22" spans="1:17" x14ac:dyDescent="0.35">
      <c r="C22" s="1"/>
    </row>
    <row r="23" spans="1:17" x14ac:dyDescent="0.35">
      <c r="K23" s="1"/>
      <c r="L23" s="1"/>
      <c r="M23" s="1"/>
      <c r="N23" s="11"/>
      <c r="O23" s="1"/>
      <c r="P23" s="1"/>
      <c r="Q23" s="1"/>
    </row>
  </sheetData>
  <mergeCells count="7">
    <mergeCell ref="A6:B6"/>
    <mergeCell ref="A14:B14"/>
    <mergeCell ref="B1:J1"/>
    <mergeCell ref="B3:C3"/>
    <mergeCell ref="D2:E2"/>
    <mergeCell ref="A2:B2"/>
    <mergeCell ref="D3:E3"/>
  </mergeCells>
  <dataValidations count="2">
    <dataValidation type="list" allowBlank="1" showInputMessage="1" showErrorMessage="1" sqref="C19" xr:uid="{9D84ED2C-2D7C-476B-AC04-3AB83F98FA1D}">
      <formula1>$C$15:$F$15</formula1>
    </dataValidation>
    <dataValidation type="list" allowBlank="1" showInputMessage="1" showErrorMessage="1" sqref="D15:D18" xr:uid="{F5724EF1-0624-485F-8D50-34485D29D983}">
      <formula1>$C$6:$J$6</formula1>
    </dataValidation>
  </dataValidations>
  <pageMargins left="0.7" right="0.7" top="0.75" bottom="0.75" header="0.3" footer="0.3"/>
  <pageSetup orientation="portrait"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397C7-F6DD-4EF7-8C1E-BF37C884D487}">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7E18C28DEA304DB273838AF60B0A28" ma:contentTypeVersion="13" ma:contentTypeDescription="Create a new document." ma:contentTypeScope="" ma:versionID="335e6ba7f4c00be77047a9152e949e9a">
  <xsd:schema xmlns:xsd="http://www.w3.org/2001/XMLSchema" xmlns:xs="http://www.w3.org/2001/XMLSchema" xmlns:p="http://schemas.microsoft.com/office/2006/metadata/properties" xmlns:ns3="6a1a7f92-6908-41dd-8101-4716c5470e14" xmlns:ns4="3ceda744-fa9d-4cef-90fa-69302403f82f" targetNamespace="http://schemas.microsoft.com/office/2006/metadata/properties" ma:root="true" ma:fieldsID="907dc46c3986c339e81483c4ff1ed53f" ns3:_="" ns4:_="">
    <xsd:import namespace="6a1a7f92-6908-41dd-8101-4716c5470e14"/>
    <xsd:import namespace="3ceda744-fa9d-4cef-90fa-69302403f82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a7f92-6908-41dd-8101-4716c547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eda744-fa9d-4cef-90fa-69302403f82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9569EF-344A-41FD-9740-9E8158EA76C4}">
  <ds:schemaRefs>
    <ds:schemaRef ds:uri="http://schemas.microsoft.com/office/infopath/2007/PartnerControls"/>
    <ds:schemaRef ds:uri="http://schemas.microsoft.com/office/2006/documentManagement/types"/>
    <ds:schemaRef ds:uri="http://purl.org/dc/dcmitype/"/>
    <ds:schemaRef ds:uri="3ceda744-fa9d-4cef-90fa-69302403f82f"/>
    <ds:schemaRef ds:uri="http://purl.org/dc/terms/"/>
    <ds:schemaRef ds:uri="6a1a7f92-6908-41dd-8101-4716c5470e14"/>
    <ds:schemaRef ds:uri="http://schemas.microsoft.com/office/2006/metadata/properties"/>
    <ds:schemaRef ds:uri="http://www.w3.org/XML/1998/namespac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6D0AA8FA-4801-49A8-8909-3400625F4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a7f92-6908-41dd-8101-4716c5470e14"/>
    <ds:schemaRef ds:uri="3ceda744-fa9d-4cef-90fa-69302403f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1FBB08-5D4C-4F26-8736-E794323CD3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2024 Ownership Summit Cty AMI</vt:lpstr>
      <vt:lpstr>2024 Sum Code Ch. 5 Sec 8</vt:lpstr>
      <vt:lpstr>Summit Cou IRC Section 142 MTSP</vt:lpstr>
      <vt:lpstr>Summit LIHTC Section 42</vt:lpstr>
      <vt:lpstr>Summit 2024 AMI Other Federal</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Jones</dc:creator>
  <cp:lastModifiedBy>Jeffrey B. Jones</cp:lastModifiedBy>
  <dcterms:created xsi:type="dcterms:W3CDTF">2019-04-24T21:13:46Z</dcterms:created>
  <dcterms:modified xsi:type="dcterms:W3CDTF">2024-09-16T12:31:43Z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0x010100CE7E18C28DEA304DB273838AF60B0A28</vt:lpwstr>
  </property>
</Properties>
</file>